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Аня\ЛИМИТЫ\Лимиты 2026\Изменение Сентябрь  2026\"/>
    </mc:Choice>
  </mc:AlternateContent>
  <bookViews>
    <workbookView xWindow="-120" yWindow="-120" windowWidth="29040" windowHeight="15840" tabRatio="359" activeTab="3"/>
  </bookViews>
  <sheets>
    <sheet name="эл энергия" sheetId="7" r:id="rId1"/>
    <sheet name="тепло эн" sheetId="2" r:id="rId2"/>
    <sheet name="ГАЗ " sheetId="9" r:id="rId3"/>
    <sheet name="вода" sheetId="8" r:id="rId4"/>
  </sheets>
  <definedNames>
    <definedName name="_xlnm._FilterDatabase" localSheetId="3" hidden="1">вода!$A$13:$AE$278</definedName>
    <definedName name="_xlnm.Print_Titles" localSheetId="3">вода!$13:$15</definedName>
    <definedName name="_xlnm.Print_Titles" localSheetId="0">'эл энергия'!$14:$16</definedName>
    <definedName name="_xlnm.Print_Area" localSheetId="3">вода!$A$1:$AA$287</definedName>
    <definedName name="_xlnm.Print_Area" localSheetId="0">'эл энергия'!$A$1:$AU$108</definedName>
  </definedNames>
  <calcPr calcId="162913"/>
</workbook>
</file>

<file path=xl/calcChain.xml><?xml version="1.0" encoding="utf-8"?>
<calcChain xmlns="http://schemas.openxmlformats.org/spreadsheetml/2006/main">
  <c r="H144" i="8" l="1"/>
  <c r="F53" i="7" l="1"/>
  <c r="I53" i="7"/>
  <c r="L53" i="7"/>
  <c r="O53" i="7"/>
  <c r="R53" i="7"/>
  <c r="U53" i="7"/>
  <c r="V53" i="7"/>
  <c r="X53" i="7"/>
  <c r="Y53" i="7"/>
  <c r="AA53" i="7" s="1"/>
  <c r="AO53" i="7" s="1"/>
  <c r="AB53" i="7"/>
  <c r="AD53" i="7"/>
  <c r="AE53" i="7"/>
  <c r="AN53" i="7" s="1"/>
  <c r="AG53" i="7"/>
  <c r="AH53" i="7"/>
  <c r="AJ53" i="7"/>
  <c r="AK53" i="7"/>
  <c r="AM53" i="7"/>
  <c r="R32" i="9" l="1"/>
  <c r="F276" i="8" l="1"/>
  <c r="Y276" i="8" s="1"/>
  <c r="F23" i="8"/>
  <c r="U276" i="8" l="1"/>
  <c r="V276" i="8"/>
  <c r="N276" i="8"/>
  <c r="O276" i="8"/>
  <c r="P276" i="8"/>
  <c r="Q276" i="8"/>
  <c r="R276" i="8"/>
  <c r="T276" i="8"/>
  <c r="K276" i="8"/>
  <c r="L276" i="8"/>
  <c r="M276" i="8"/>
  <c r="J276" i="8"/>
  <c r="I276" i="8"/>
  <c r="H276" i="8"/>
  <c r="H23" i="8"/>
  <c r="Z259" i="8"/>
  <c r="W259" i="8"/>
  <c r="R259" i="8"/>
  <c r="M259" i="8"/>
  <c r="H259" i="8"/>
  <c r="W266" i="8"/>
  <c r="R266" i="8"/>
  <c r="M273" i="8"/>
  <c r="M266" i="8"/>
  <c r="H266" i="8"/>
  <c r="W173" i="8"/>
  <c r="R173" i="8"/>
  <c r="M173" i="8"/>
  <c r="H173" i="8"/>
  <c r="W143" i="8"/>
  <c r="R143" i="8"/>
  <c r="M143" i="8"/>
  <c r="H143" i="8"/>
  <c r="W128" i="8"/>
  <c r="R128" i="8"/>
  <c r="M128" i="8"/>
  <c r="H128" i="8"/>
  <c r="W90" i="8"/>
  <c r="R90" i="8"/>
  <c r="M90" i="8"/>
  <c r="H90" i="8"/>
  <c r="W86" i="8"/>
  <c r="R86" i="8"/>
  <c r="M86" i="8"/>
  <c r="H86" i="8"/>
  <c r="W80" i="8"/>
  <c r="R80" i="8"/>
  <c r="M80" i="8"/>
  <c r="H80" i="8"/>
  <c r="W64" i="8"/>
  <c r="R64" i="8"/>
  <c r="M64" i="8"/>
  <c r="H64" i="8"/>
  <c r="W57" i="8"/>
  <c r="R57" i="8"/>
  <c r="M57" i="8"/>
  <c r="H57" i="8"/>
  <c r="W50" i="8"/>
  <c r="R50" i="8"/>
  <c r="M50" i="8"/>
  <c r="H50" i="8"/>
  <c r="W31" i="8"/>
  <c r="R31" i="8"/>
  <c r="M31" i="8"/>
  <c r="H31" i="8"/>
  <c r="Y273" i="8" l="1"/>
  <c r="Y266" i="8"/>
  <c r="Y259" i="8"/>
  <c r="Y173" i="8"/>
  <c r="Y143" i="8"/>
  <c r="Y128" i="8"/>
  <c r="Y90" i="8"/>
  <c r="Y86" i="8"/>
  <c r="Y80" i="8"/>
  <c r="Y64" i="8"/>
  <c r="Y57" i="8"/>
  <c r="Y50" i="8"/>
  <c r="Y31" i="8"/>
  <c r="U259" i="8"/>
  <c r="U23" i="8"/>
  <c r="P259" i="8"/>
  <c r="P23" i="8"/>
  <c r="K259" i="8"/>
  <c r="K23" i="8"/>
  <c r="F259" i="8"/>
  <c r="W273" i="8"/>
  <c r="R273" i="8"/>
  <c r="H273" i="8"/>
  <c r="Z272" i="8"/>
  <c r="Y23" i="8" l="1"/>
  <c r="Z273" i="8"/>
  <c r="P30" i="9" l="1"/>
  <c r="AE32" i="7" l="1"/>
  <c r="E17" i="8" l="1"/>
  <c r="M60" i="2" l="1"/>
  <c r="I60" i="2"/>
  <c r="G60" i="2"/>
  <c r="F60" i="2"/>
  <c r="D60" i="2"/>
  <c r="S68" i="8" l="1"/>
  <c r="N68" i="8"/>
  <c r="J68" i="8"/>
  <c r="I68" i="8"/>
  <c r="E68" i="8"/>
  <c r="D68" i="8"/>
  <c r="X67" i="8"/>
  <c r="W67" i="8"/>
  <c r="R67" i="8"/>
  <c r="M67" i="8"/>
  <c r="H67" i="8"/>
  <c r="M68" i="8" l="1"/>
  <c r="H68" i="8"/>
  <c r="Z67" i="8"/>
  <c r="X68" i="8"/>
  <c r="X54" i="9" l="1"/>
  <c r="AS107" i="7" l="1"/>
  <c r="Z45" i="2"/>
  <c r="AR107" i="7" l="1"/>
  <c r="W57" i="9"/>
  <c r="X57" i="9" s="1"/>
  <c r="X55" i="9"/>
  <c r="X56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3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G9" i="9"/>
  <c r="G10" i="9"/>
  <c r="G11" i="9"/>
  <c r="G12" i="9"/>
  <c r="G13" i="9"/>
  <c r="G15" i="9"/>
  <c r="G16" i="9"/>
  <c r="G17" i="9"/>
  <c r="G19" i="9"/>
  <c r="G20" i="9"/>
  <c r="G21" i="9"/>
  <c r="G23" i="9"/>
  <c r="G24" i="9"/>
  <c r="G25" i="9"/>
  <c r="G27" i="9"/>
  <c r="G28" i="9"/>
  <c r="G29" i="9"/>
  <c r="G32" i="9"/>
  <c r="G33" i="9"/>
  <c r="G34" i="9"/>
  <c r="G36" i="9"/>
  <c r="G37" i="9"/>
  <c r="G38" i="9"/>
  <c r="G40" i="9"/>
  <c r="G41" i="9"/>
  <c r="G42" i="9"/>
  <c r="G44" i="9"/>
  <c r="G45" i="9"/>
  <c r="G46" i="9"/>
  <c r="G49" i="9"/>
  <c r="G51" i="9"/>
  <c r="G52" i="9"/>
  <c r="G48" i="9" l="1"/>
  <c r="G43" i="9"/>
  <c r="G39" i="9"/>
  <c r="G35" i="9"/>
  <c r="G31" i="9"/>
  <c r="G26" i="9"/>
  <c r="G22" i="9"/>
  <c r="G18" i="9"/>
  <c r="G14" i="9"/>
  <c r="J30" i="9"/>
  <c r="E102" i="7" l="1"/>
  <c r="H102" i="7"/>
  <c r="K102" i="7"/>
  <c r="N102" i="7"/>
  <c r="Q102" i="7"/>
  <c r="T102" i="7"/>
  <c r="W102" i="7"/>
  <c r="Z102" i="7"/>
  <c r="AC102" i="7"/>
  <c r="AF102" i="7"/>
  <c r="AI102" i="7"/>
  <c r="AL102" i="7"/>
  <c r="K96" i="7"/>
  <c r="M96" i="7"/>
  <c r="N96" i="7"/>
  <c r="P96" i="7"/>
  <c r="Q96" i="7"/>
  <c r="S96" i="7"/>
  <c r="T96" i="7"/>
  <c r="U96" i="7"/>
  <c r="V96" i="7"/>
  <c r="W96" i="7"/>
  <c r="Y96" i="7"/>
  <c r="Z96" i="7"/>
  <c r="AB96" i="7"/>
  <c r="AC96" i="7"/>
  <c r="AE96" i="7"/>
  <c r="AF96" i="7"/>
  <c r="AH96" i="7"/>
  <c r="AI96" i="7"/>
  <c r="AK96" i="7"/>
  <c r="AL96" i="7"/>
  <c r="J96" i="7"/>
  <c r="H96" i="7"/>
  <c r="G96" i="7"/>
  <c r="E96" i="7"/>
  <c r="AM98" i="7"/>
  <c r="AM99" i="7"/>
  <c r="AM96" i="7" s="1"/>
  <c r="AM100" i="7"/>
  <c r="AM101" i="7"/>
  <c r="AM97" i="7"/>
  <c r="AJ98" i="7"/>
  <c r="AJ99" i="7"/>
  <c r="AJ96" i="7" s="1"/>
  <c r="AJ100" i="7"/>
  <c r="AJ101" i="7"/>
  <c r="AJ97" i="7"/>
  <c r="AG98" i="7"/>
  <c r="AG99" i="7"/>
  <c r="AG100" i="7"/>
  <c r="AG101" i="7"/>
  <c r="AG97" i="7"/>
  <c r="AD98" i="7"/>
  <c r="AD99" i="7"/>
  <c r="AD96" i="7" s="1"/>
  <c r="AD100" i="7"/>
  <c r="AD101" i="7"/>
  <c r="AD97" i="7"/>
  <c r="AA98" i="7"/>
  <c r="AA99" i="7"/>
  <c r="AA96" i="7" s="1"/>
  <c r="AA100" i="7"/>
  <c r="AA101" i="7"/>
  <c r="AA97" i="7"/>
  <c r="X101" i="7"/>
  <c r="X100" i="7"/>
  <c r="X99" i="7"/>
  <c r="X96" i="7" s="1"/>
  <c r="X98" i="7"/>
  <c r="X97" i="7"/>
  <c r="U100" i="7"/>
  <c r="U101" i="7"/>
  <c r="U99" i="7"/>
  <c r="U98" i="7"/>
  <c r="U97" i="7"/>
  <c r="R101" i="7"/>
  <c r="R100" i="7"/>
  <c r="R99" i="7"/>
  <c r="R96" i="7" s="1"/>
  <c r="R98" i="7"/>
  <c r="R97" i="7"/>
  <c r="O101" i="7"/>
  <c r="O100" i="7"/>
  <c r="O99" i="7"/>
  <c r="O98" i="7"/>
  <c r="O97" i="7"/>
  <c r="L101" i="7"/>
  <c r="L100" i="7"/>
  <c r="L99" i="7"/>
  <c r="L98" i="7"/>
  <c r="L97" i="7"/>
  <c r="I101" i="7"/>
  <c r="I100" i="7"/>
  <c r="I99" i="7"/>
  <c r="I98" i="7"/>
  <c r="I97" i="7"/>
  <c r="F101" i="7"/>
  <c r="F100" i="7"/>
  <c r="F99" i="7"/>
  <c r="F98" i="7"/>
  <c r="F97" i="7"/>
  <c r="AN89" i="7"/>
  <c r="AN88" i="7"/>
  <c r="AM88" i="7"/>
  <c r="AM89" i="7"/>
  <c r="AM90" i="7"/>
  <c r="AM91" i="7"/>
  <c r="AM92" i="7"/>
  <c r="AM93" i="7"/>
  <c r="AM94" i="7"/>
  <c r="AM95" i="7"/>
  <c r="AJ88" i="7"/>
  <c r="AJ89" i="7"/>
  <c r="AJ90" i="7"/>
  <c r="AJ91" i="7"/>
  <c r="AJ92" i="7"/>
  <c r="AJ93" i="7"/>
  <c r="AJ94" i="7"/>
  <c r="AJ95" i="7"/>
  <c r="AG88" i="7"/>
  <c r="AG89" i="7"/>
  <c r="AG90" i="7"/>
  <c r="AG91" i="7"/>
  <c r="AG92" i="7"/>
  <c r="AG93" i="7"/>
  <c r="AG94" i="7"/>
  <c r="AG95" i="7"/>
  <c r="AD88" i="7"/>
  <c r="AD89" i="7"/>
  <c r="AD90" i="7"/>
  <c r="AD91" i="7"/>
  <c r="AD92" i="7"/>
  <c r="AD93" i="7"/>
  <c r="AD94" i="7"/>
  <c r="AD95" i="7"/>
  <c r="AA88" i="7"/>
  <c r="AA89" i="7"/>
  <c r="AA90" i="7"/>
  <c r="AA91" i="7"/>
  <c r="AA92" i="7"/>
  <c r="AA93" i="7"/>
  <c r="AA94" i="7"/>
  <c r="AA95" i="7"/>
  <c r="X88" i="7"/>
  <c r="X89" i="7"/>
  <c r="X90" i="7"/>
  <c r="X91" i="7"/>
  <c r="X92" i="7"/>
  <c r="X93" i="7"/>
  <c r="X94" i="7"/>
  <c r="X95" i="7"/>
  <c r="U88" i="7"/>
  <c r="U89" i="7"/>
  <c r="U90" i="7"/>
  <c r="U91" i="7"/>
  <c r="U92" i="7"/>
  <c r="U93" i="7"/>
  <c r="U94" i="7"/>
  <c r="U95" i="7"/>
  <c r="R88" i="7"/>
  <c r="R89" i="7"/>
  <c r="R90" i="7"/>
  <c r="R91" i="7"/>
  <c r="R92" i="7"/>
  <c r="R93" i="7"/>
  <c r="R94" i="7"/>
  <c r="R95" i="7"/>
  <c r="O88" i="7"/>
  <c r="O89" i="7"/>
  <c r="O90" i="7"/>
  <c r="O91" i="7"/>
  <c r="O92" i="7"/>
  <c r="O93" i="7"/>
  <c r="O94" i="7"/>
  <c r="O95" i="7"/>
  <c r="L88" i="7"/>
  <c r="L89" i="7"/>
  <c r="L90" i="7"/>
  <c r="L91" i="7"/>
  <c r="L92" i="7"/>
  <c r="L93" i="7"/>
  <c r="L94" i="7"/>
  <c r="L95" i="7"/>
  <c r="I88" i="7"/>
  <c r="I89" i="7"/>
  <c r="I90" i="7"/>
  <c r="I91" i="7"/>
  <c r="I92" i="7"/>
  <c r="I93" i="7"/>
  <c r="I94" i="7"/>
  <c r="I95" i="7"/>
  <c r="F95" i="7"/>
  <c r="F94" i="7"/>
  <c r="F93" i="7"/>
  <c r="F92" i="7"/>
  <c r="F91" i="7"/>
  <c r="F90" i="7"/>
  <c r="F89" i="7"/>
  <c r="F88" i="7"/>
  <c r="D86" i="7"/>
  <c r="D19" i="7"/>
  <c r="AG96" i="7" l="1"/>
  <c r="O96" i="7"/>
  <c r="L96" i="7"/>
  <c r="I96" i="7"/>
  <c r="F96" i="7"/>
  <c r="AN18" i="7"/>
  <c r="AN20" i="7"/>
  <c r="AN21" i="7"/>
  <c r="AN22" i="7"/>
  <c r="AN23" i="7"/>
  <c r="AN24" i="7"/>
  <c r="AN25" i="7"/>
  <c r="AN26" i="7"/>
  <c r="AN27" i="7"/>
  <c r="AN28" i="7"/>
  <c r="AN29" i="7"/>
  <c r="AN30" i="7"/>
  <c r="AN31" i="7"/>
  <c r="AN32" i="7"/>
  <c r="AN33" i="7"/>
  <c r="AN34" i="7"/>
  <c r="AN35" i="7"/>
  <c r="AN36" i="7"/>
  <c r="AN37" i="7"/>
  <c r="AN38" i="7"/>
  <c r="AN39" i="7"/>
  <c r="AN40" i="7"/>
  <c r="AN41" i="7"/>
  <c r="AN42" i="7"/>
  <c r="AN43" i="7"/>
  <c r="AN44" i="7"/>
  <c r="AN45" i="7"/>
  <c r="AN46" i="7"/>
  <c r="AN47" i="7"/>
  <c r="AN48" i="7"/>
  <c r="AN49" i="7"/>
  <c r="AN50" i="7"/>
  <c r="AN51" i="7"/>
  <c r="AN52" i="7"/>
  <c r="AN54" i="7"/>
  <c r="AN55" i="7"/>
  <c r="AN56" i="7"/>
  <c r="AN57" i="7"/>
  <c r="AN58" i="7"/>
  <c r="AN59" i="7"/>
  <c r="AN60" i="7"/>
  <c r="AN61" i="7"/>
  <c r="AN62" i="7"/>
  <c r="AN63" i="7"/>
  <c r="AN64" i="7"/>
  <c r="AN65" i="7"/>
  <c r="AN66" i="7"/>
  <c r="AN67" i="7"/>
  <c r="AN68" i="7"/>
  <c r="AN69" i="7"/>
  <c r="AN70" i="7"/>
  <c r="AN71" i="7"/>
  <c r="AN72" i="7"/>
  <c r="AN73" i="7"/>
  <c r="AN74" i="7"/>
  <c r="AN75" i="7"/>
  <c r="AN76" i="7"/>
  <c r="AN77" i="7"/>
  <c r="AN78" i="7"/>
  <c r="AN79" i="7"/>
  <c r="AN80" i="7"/>
  <c r="AN81" i="7"/>
  <c r="AN82" i="7"/>
  <c r="AN83" i="7"/>
  <c r="AN84" i="7"/>
  <c r="AN85" i="7"/>
  <c r="AN87" i="7"/>
  <c r="AN90" i="7"/>
  <c r="AN91" i="7"/>
  <c r="AN92" i="7"/>
  <c r="AN93" i="7"/>
  <c r="AN94" i="7"/>
  <c r="AN95" i="7"/>
  <c r="AN97" i="7"/>
  <c r="AN98" i="7"/>
  <c r="AN99" i="7"/>
  <c r="AN100" i="7"/>
  <c r="AN101" i="7"/>
  <c r="J19" i="7"/>
  <c r="G19" i="7"/>
  <c r="M19" i="7"/>
  <c r="P19" i="7"/>
  <c r="S19" i="7"/>
  <c r="V19" i="7"/>
  <c r="Y19" i="7"/>
  <c r="AB19" i="7"/>
  <c r="AE19" i="7"/>
  <c r="AH19" i="7"/>
  <c r="AK19" i="7"/>
  <c r="F18" i="7"/>
  <c r="AN19" i="7" l="1"/>
  <c r="AO97" i="7"/>
  <c r="AO98" i="7"/>
  <c r="AO100" i="7"/>
  <c r="AO101" i="7"/>
  <c r="AO95" i="7"/>
  <c r="AO94" i="7"/>
  <c r="AO93" i="7"/>
  <c r="AO92" i="7"/>
  <c r="AO91" i="7"/>
  <c r="AO90" i="7"/>
  <c r="AO89" i="7"/>
  <c r="AO88" i="7"/>
  <c r="Z37" i="2" l="1"/>
  <c r="P37" i="2"/>
  <c r="AB37" i="2" s="1"/>
  <c r="O37" i="2"/>
  <c r="L37" i="2"/>
  <c r="I37" i="2"/>
  <c r="F37" i="2"/>
  <c r="Q37" i="2" l="1"/>
  <c r="X254" i="8" l="1"/>
  <c r="T254" i="8"/>
  <c r="W254" i="8" s="1"/>
  <c r="O254" i="8"/>
  <c r="R254" i="8" s="1"/>
  <c r="J254" i="8"/>
  <c r="M254" i="8" s="1"/>
  <c r="E254" i="8"/>
  <c r="H254" i="8" s="1"/>
  <c r="Z254" i="8" l="1"/>
  <c r="AS75" i="7"/>
  <c r="AM75" i="7"/>
  <c r="AJ75" i="7"/>
  <c r="AG75" i="7"/>
  <c r="AD75" i="7"/>
  <c r="AA75" i="7"/>
  <c r="X75" i="7"/>
  <c r="U75" i="7"/>
  <c r="R75" i="7"/>
  <c r="O75" i="7"/>
  <c r="L75" i="7"/>
  <c r="I75" i="7"/>
  <c r="F75" i="7"/>
  <c r="AO75" i="7" l="1"/>
  <c r="X144" i="8"/>
  <c r="T144" i="8"/>
  <c r="W144" i="8" s="1"/>
  <c r="O144" i="8"/>
  <c r="J144" i="8"/>
  <c r="M144" i="8" s="1"/>
  <c r="E144" i="8"/>
  <c r="Z144" i="8" l="1"/>
  <c r="I23" i="8" l="1"/>
  <c r="N23" i="8"/>
  <c r="S23" i="8"/>
  <c r="S276" i="8" s="1"/>
  <c r="X276" i="8" s="1"/>
  <c r="S37" i="9" l="1"/>
  <c r="V37" i="9" s="1"/>
  <c r="R37" i="9"/>
  <c r="O37" i="9"/>
  <c r="L37" i="9"/>
  <c r="T37" i="9" l="1"/>
  <c r="X128" i="8"/>
  <c r="X105" i="8"/>
  <c r="J105" i="8"/>
  <c r="M105" i="8" s="1"/>
  <c r="E105" i="8"/>
  <c r="H105" i="8" s="1"/>
  <c r="X104" i="8"/>
  <c r="T104" i="8"/>
  <c r="W104" i="8" s="1"/>
  <c r="O104" i="8"/>
  <c r="R104" i="8" s="1"/>
  <c r="J104" i="8"/>
  <c r="M104" i="8" s="1"/>
  <c r="E104" i="8"/>
  <c r="H104" i="8" s="1"/>
  <c r="Z104" i="8" l="1"/>
  <c r="X64" i="8" l="1"/>
  <c r="Z64" i="8" l="1"/>
  <c r="M265" i="8" l="1"/>
  <c r="S52" i="9" l="1"/>
  <c r="V52" i="9" s="1"/>
  <c r="R52" i="9"/>
  <c r="O52" i="9"/>
  <c r="L52" i="9"/>
  <c r="I52" i="9"/>
  <c r="S51" i="9"/>
  <c r="V51" i="9" s="1"/>
  <c r="R51" i="9"/>
  <c r="O51" i="9"/>
  <c r="L51" i="9"/>
  <c r="I51" i="9"/>
  <c r="P50" i="9"/>
  <c r="M50" i="9"/>
  <c r="J50" i="9"/>
  <c r="E50" i="9"/>
  <c r="S49" i="9"/>
  <c r="V49" i="9" s="1"/>
  <c r="R49" i="9"/>
  <c r="O49" i="9"/>
  <c r="L49" i="9"/>
  <c r="I49" i="9"/>
  <c r="S48" i="9"/>
  <c r="V48" i="9" s="1"/>
  <c r="R48" i="9"/>
  <c r="O48" i="9"/>
  <c r="L48" i="9"/>
  <c r="I48" i="9"/>
  <c r="P47" i="9"/>
  <c r="M47" i="9"/>
  <c r="J47" i="9"/>
  <c r="E47" i="9"/>
  <c r="S46" i="9"/>
  <c r="V46" i="9" s="1"/>
  <c r="R46" i="9"/>
  <c r="O46" i="9"/>
  <c r="L46" i="9"/>
  <c r="S45" i="9"/>
  <c r="V45" i="9" s="1"/>
  <c r="R45" i="9"/>
  <c r="O45" i="9"/>
  <c r="L45" i="9"/>
  <c r="S44" i="9"/>
  <c r="V44" i="9" s="1"/>
  <c r="R44" i="9"/>
  <c r="O44" i="9"/>
  <c r="L44" i="9"/>
  <c r="S43" i="9"/>
  <c r="V43" i="9" s="1"/>
  <c r="R43" i="9"/>
  <c r="O43" i="9"/>
  <c r="L43" i="9"/>
  <c r="S42" i="9"/>
  <c r="V42" i="9" s="1"/>
  <c r="R42" i="9"/>
  <c r="O42" i="9"/>
  <c r="L42" i="9"/>
  <c r="S41" i="9"/>
  <c r="V41" i="9" s="1"/>
  <c r="R41" i="9"/>
  <c r="O41" i="9"/>
  <c r="L41" i="9"/>
  <c r="V40" i="9"/>
  <c r="L40" i="9"/>
  <c r="S39" i="9"/>
  <c r="V39" i="9" s="1"/>
  <c r="R39" i="9"/>
  <c r="O39" i="9"/>
  <c r="L39" i="9"/>
  <c r="S38" i="9"/>
  <c r="V38" i="9" s="1"/>
  <c r="R38" i="9"/>
  <c r="O38" i="9"/>
  <c r="L38" i="9"/>
  <c r="S36" i="9"/>
  <c r="V36" i="9" s="1"/>
  <c r="R36" i="9"/>
  <c r="O36" i="9"/>
  <c r="L36" i="9"/>
  <c r="S35" i="9"/>
  <c r="V35" i="9" s="1"/>
  <c r="R35" i="9"/>
  <c r="O35" i="9"/>
  <c r="L35" i="9"/>
  <c r="S34" i="9"/>
  <c r="V34" i="9" s="1"/>
  <c r="R34" i="9"/>
  <c r="O34" i="9"/>
  <c r="L34" i="9"/>
  <c r="S33" i="9"/>
  <c r="V33" i="9" s="1"/>
  <c r="R33" i="9"/>
  <c r="O33" i="9"/>
  <c r="L33" i="9"/>
  <c r="I33" i="9"/>
  <c r="S32" i="9"/>
  <c r="O32" i="9"/>
  <c r="L32" i="9"/>
  <c r="S31" i="9"/>
  <c r="R31" i="9"/>
  <c r="O31" i="9"/>
  <c r="L31" i="9"/>
  <c r="L30" i="9" s="1"/>
  <c r="I31" i="9"/>
  <c r="M30" i="9"/>
  <c r="E30" i="9"/>
  <c r="S29" i="9"/>
  <c r="V29" i="9" s="1"/>
  <c r="R29" i="9"/>
  <c r="O29" i="9"/>
  <c r="L29" i="9"/>
  <c r="S28" i="9"/>
  <c r="V28" i="9" s="1"/>
  <c r="R28" i="9"/>
  <c r="O28" i="9"/>
  <c r="L28" i="9"/>
  <c r="S27" i="9"/>
  <c r="V27" i="9" s="1"/>
  <c r="R27" i="9"/>
  <c r="O27" i="9"/>
  <c r="L27" i="9"/>
  <c r="S26" i="9"/>
  <c r="V26" i="9" s="1"/>
  <c r="R26" i="9"/>
  <c r="O26" i="9"/>
  <c r="L26" i="9"/>
  <c r="S25" i="9"/>
  <c r="V25" i="9" s="1"/>
  <c r="R25" i="9"/>
  <c r="O25" i="9"/>
  <c r="L25" i="9"/>
  <c r="S24" i="9"/>
  <c r="V24" i="9" s="1"/>
  <c r="R24" i="9"/>
  <c r="O24" i="9"/>
  <c r="L24" i="9"/>
  <c r="S23" i="9"/>
  <c r="V23" i="9" s="1"/>
  <c r="R23" i="9"/>
  <c r="O23" i="9"/>
  <c r="L23" i="9"/>
  <c r="S22" i="9"/>
  <c r="V22" i="9" s="1"/>
  <c r="R22" i="9"/>
  <c r="O22" i="9"/>
  <c r="L22" i="9"/>
  <c r="S21" i="9"/>
  <c r="V21" i="9" s="1"/>
  <c r="R21" i="9"/>
  <c r="O21" i="9"/>
  <c r="L21" i="9"/>
  <c r="S20" i="9"/>
  <c r="V20" i="9" s="1"/>
  <c r="R20" i="9"/>
  <c r="O20" i="9"/>
  <c r="L20" i="9"/>
  <c r="S19" i="9"/>
  <c r="V19" i="9" s="1"/>
  <c r="R19" i="9"/>
  <c r="O19" i="9"/>
  <c r="L19" i="9"/>
  <c r="S18" i="9"/>
  <c r="V18" i="9" s="1"/>
  <c r="R18" i="9"/>
  <c r="O18" i="9"/>
  <c r="L18" i="9"/>
  <c r="S17" i="9"/>
  <c r="V17" i="9" s="1"/>
  <c r="R17" i="9"/>
  <c r="O17" i="9"/>
  <c r="L17" i="9"/>
  <c r="S16" i="9"/>
  <c r="V16" i="9" s="1"/>
  <c r="R16" i="9"/>
  <c r="O16" i="9"/>
  <c r="L16" i="9"/>
  <c r="S15" i="9"/>
  <c r="V15" i="9" s="1"/>
  <c r="R15" i="9"/>
  <c r="O15" i="9"/>
  <c r="L15" i="9"/>
  <c r="S14" i="9"/>
  <c r="V14" i="9" s="1"/>
  <c r="R14" i="9"/>
  <c r="O14" i="9"/>
  <c r="L14" i="9"/>
  <c r="S13" i="9"/>
  <c r="R13" i="9"/>
  <c r="O13" i="9"/>
  <c r="L13" i="9"/>
  <c r="S12" i="9"/>
  <c r="R12" i="9"/>
  <c r="O12" i="9"/>
  <c r="L12" i="9"/>
  <c r="I12" i="9"/>
  <c r="P11" i="9"/>
  <c r="M11" i="9"/>
  <c r="J11" i="9"/>
  <c r="E11" i="9"/>
  <c r="P10" i="9"/>
  <c r="M10" i="9"/>
  <c r="J10" i="9"/>
  <c r="E10" i="9"/>
  <c r="S9" i="9"/>
  <c r="R9" i="9"/>
  <c r="O9" i="9"/>
  <c r="L9" i="9"/>
  <c r="I9" i="9"/>
  <c r="O50" i="9" l="1"/>
  <c r="R30" i="9"/>
  <c r="M53" i="9"/>
  <c r="O30" i="9"/>
  <c r="I30" i="9"/>
  <c r="T23" i="9"/>
  <c r="R50" i="9"/>
  <c r="T52" i="9"/>
  <c r="E53" i="9"/>
  <c r="I50" i="9"/>
  <c r="I47" i="9"/>
  <c r="J53" i="9"/>
  <c r="T45" i="9"/>
  <c r="T44" i="9"/>
  <c r="T38" i="9"/>
  <c r="T39" i="9"/>
  <c r="T36" i="9"/>
  <c r="T22" i="9"/>
  <c r="T17" i="9"/>
  <c r="T16" i="9"/>
  <c r="T14" i="9"/>
  <c r="R11" i="9"/>
  <c r="L11" i="9"/>
  <c r="I11" i="9"/>
  <c r="O11" i="9"/>
  <c r="T15" i="9"/>
  <c r="T20" i="9"/>
  <c r="T26" i="9"/>
  <c r="T28" i="9"/>
  <c r="T29" i="9"/>
  <c r="T31" i="9"/>
  <c r="L47" i="9"/>
  <c r="T49" i="9"/>
  <c r="L50" i="9"/>
  <c r="P53" i="9"/>
  <c r="T18" i="9"/>
  <c r="T19" i="9"/>
  <c r="T21" i="9"/>
  <c r="T27" i="9"/>
  <c r="S30" i="9"/>
  <c r="V30" i="9" s="1"/>
  <c r="T32" i="9"/>
  <c r="T34" i="9"/>
  <c r="T35" i="9"/>
  <c r="T40" i="9"/>
  <c r="T42" i="9"/>
  <c r="T43" i="9"/>
  <c r="T9" i="9"/>
  <c r="S11" i="9"/>
  <c r="V11" i="9" s="1"/>
  <c r="T13" i="9"/>
  <c r="O10" i="9"/>
  <c r="T24" i="9"/>
  <c r="T25" i="9"/>
  <c r="T33" i="9"/>
  <c r="T41" i="9"/>
  <c r="T46" i="9"/>
  <c r="S47" i="9"/>
  <c r="V47" i="9" s="1"/>
  <c r="R47" i="9"/>
  <c r="O47" i="9"/>
  <c r="T12" i="9"/>
  <c r="T48" i="9"/>
  <c r="V9" i="9"/>
  <c r="L10" i="9"/>
  <c r="R10" i="9"/>
  <c r="S50" i="9"/>
  <c r="V50" i="9" s="1"/>
  <c r="T51" i="9"/>
  <c r="S10" i="9"/>
  <c r="I10" i="9"/>
  <c r="T11" i="9" l="1"/>
  <c r="O53" i="9"/>
  <c r="T50" i="9"/>
  <c r="L53" i="9"/>
  <c r="T47" i="9"/>
  <c r="R53" i="9"/>
  <c r="S53" i="9"/>
  <c r="T30" i="9"/>
  <c r="T10" i="9"/>
  <c r="I53" i="9"/>
  <c r="T53" i="9" l="1"/>
  <c r="G86" i="7"/>
  <c r="G102" i="7" s="1"/>
  <c r="H86" i="7"/>
  <c r="J86" i="7"/>
  <c r="J102" i="7" s="1"/>
  <c r="K86" i="7"/>
  <c r="M86" i="7"/>
  <c r="M102" i="7" s="1"/>
  <c r="N86" i="7"/>
  <c r="P86" i="7"/>
  <c r="P102" i="7" s="1"/>
  <c r="Q86" i="7"/>
  <c r="S86" i="7"/>
  <c r="S102" i="7" s="1"/>
  <c r="T86" i="7"/>
  <c r="V86" i="7"/>
  <c r="V102" i="7" s="1"/>
  <c r="W86" i="7"/>
  <c r="Y86" i="7"/>
  <c r="Y102" i="7" s="1"/>
  <c r="Z86" i="7"/>
  <c r="AB86" i="7"/>
  <c r="AB102" i="7" s="1"/>
  <c r="AC86" i="7"/>
  <c r="AE86" i="7"/>
  <c r="AE102" i="7" s="1"/>
  <c r="AF86" i="7"/>
  <c r="AH86" i="7"/>
  <c r="AH102" i="7" s="1"/>
  <c r="AI86" i="7"/>
  <c r="AK86" i="7"/>
  <c r="AK102" i="7" s="1"/>
  <c r="AL86" i="7"/>
  <c r="AM25" i="7"/>
  <c r="AJ25" i="7"/>
  <c r="AG25" i="7"/>
  <c r="AD25" i="7"/>
  <c r="AA25" i="7"/>
  <c r="X25" i="7"/>
  <c r="U25" i="7"/>
  <c r="R25" i="7"/>
  <c r="O25" i="7"/>
  <c r="L25" i="7"/>
  <c r="I25" i="7"/>
  <c r="F25" i="7"/>
  <c r="D96" i="7"/>
  <c r="AN96" i="7" s="1"/>
  <c r="AM85" i="7"/>
  <c r="AJ85" i="7"/>
  <c r="AG85" i="7"/>
  <c r="AD85" i="7"/>
  <c r="AA85" i="7"/>
  <c r="X85" i="7"/>
  <c r="U85" i="7"/>
  <c r="R85" i="7"/>
  <c r="O85" i="7"/>
  <c r="L85" i="7"/>
  <c r="I85" i="7"/>
  <c r="F85" i="7"/>
  <c r="AS92" i="7"/>
  <c r="AN86" i="7" l="1"/>
  <c r="AO25" i="7"/>
  <c r="AO85" i="7"/>
  <c r="AM87" i="7"/>
  <c r="AM86" i="7" s="1"/>
  <c r="AJ87" i="7"/>
  <c r="AJ86" i="7" s="1"/>
  <c r="AG87" i="7"/>
  <c r="AG86" i="7" s="1"/>
  <c r="AD87" i="7"/>
  <c r="AD86" i="7" s="1"/>
  <c r="AA87" i="7"/>
  <c r="AA86" i="7" s="1"/>
  <c r="X87" i="7"/>
  <c r="X86" i="7" s="1"/>
  <c r="U87" i="7"/>
  <c r="U86" i="7" s="1"/>
  <c r="R87" i="7"/>
  <c r="R86" i="7" s="1"/>
  <c r="O87" i="7"/>
  <c r="O86" i="7" s="1"/>
  <c r="L87" i="7"/>
  <c r="L86" i="7" s="1"/>
  <c r="I87" i="7"/>
  <c r="I86" i="7" s="1"/>
  <c r="F87" i="7"/>
  <c r="F86" i="7" s="1"/>
  <c r="E86" i="7"/>
  <c r="AO96" i="7" l="1"/>
  <c r="AO99" i="7"/>
  <c r="AO86" i="7"/>
  <c r="AO87" i="7"/>
  <c r="Z252" i="8"/>
  <c r="X252" i="8"/>
  <c r="Z251" i="8"/>
  <c r="X251" i="8"/>
  <c r="T249" i="8"/>
  <c r="S249" i="8"/>
  <c r="O249" i="8"/>
  <c r="N249" i="8"/>
  <c r="J249" i="8"/>
  <c r="I249" i="8"/>
  <c r="E249" i="8"/>
  <c r="D249" i="8"/>
  <c r="X249" i="8" s="1"/>
  <c r="X248" i="8"/>
  <c r="T248" i="8"/>
  <c r="W248" i="8" s="1"/>
  <c r="O248" i="8"/>
  <c r="R248" i="8" s="1"/>
  <c r="J248" i="8"/>
  <c r="M248" i="8" s="1"/>
  <c r="E248" i="8"/>
  <c r="H248" i="8" s="1"/>
  <c r="R249" i="8" l="1"/>
  <c r="M249" i="8"/>
  <c r="W249" i="8"/>
  <c r="Z248" i="8"/>
  <c r="H249" i="8"/>
  <c r="D55" i="7"/>
  <c r="D45" i="7"/>
  <c r="AK45" i="7"/>
  <c r="G41" i="7"/>
  <c r="D40" i="7"/>
  <c r="D39" i="7"/>
  <c r="D38" i="7"/>
  <c r="D34" i="7"/>
  <c r="D30" i="7"/>
  <c r="D23" i="7"/>
  <c r="X102" i="8"/>
  <c r="Z249" i="8" l="1"/>
  <c r="M4" i="8"/>
  <c r="N4" i="8"/>
  <c r="Z73" i="2" l="1"/>
  <c r="Z72" i="2"/>
  <c r="Z71" i="2"/>
  <c r="Z69" i="2"/>
  <c r="Z68" i="2"/>
  <c r="Z67" i="2"/>
  <c r="Z65" i="2"/>
  <c r="Z64" i="2"/>
  <c r="Z63" i="2"/>
  <c r="Z62" i="2"/>
  <c r="Z61" i="2"/>
  <c r="Z59" i="2"/>
  <c r="Z58" i="2"/>
  <c r="Z57" i="2"/>
  <c r="Z56" i="2"/>
  <c r="Z55" i="2"/>
  <c r="Z54" i="2"/>
  <c r="Z53" i="2"/>
  <c r="Z52" i="2"/>
  <c r="Z51" i="2"/>
  <c r="Z50" i="2"/>
  <c r="Z49" i="2"/>
  <c r="Z48" i="2"/>
  <c r="Z47" i="2"/>
  <c r="Z46" i="2"/>
  <c r="Z44" i="2"/>
  <c r="Z43" i="2"/>
  <c r="Z41" i="2"/>
  <c r="Z40" i="2"/>
  <c r="Z39" i="2"/>
  <c r="Z38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Z10" i="2"/>
  <c r="Z128" i="8" l="1"/>
  <c r="D113" i="8"/>
  <c r="D22" i="8" s="1"/>
  <c r="I113" i="8"/>
  <c r="N113" i="8"/>
  <c r="S113" i="8"/>
  <c r="N22" i="8" l="1"/>
  <c r="I22" i="8"/>
  <c r="S22" i="8"/>
  <c r="P58" i="2"/>
  <c r="AB58" i="2" s="1"/>
  <c r="O58" i="2"/>
  <c r="L58" i="2"/>
  <c r="I58" i="2"/>
  <c r="F58" i="2"/>
  <c r="Q58" i="2" l="1"/>
  <c r="I111" i="8" l="1"/>
  <c r="O71" i="2" l="1"/>
  <c r="AK73" i="7" l="1"/>
  <c r="AK72" i="7"/>
  <c r="AK46" i="7"/>
  <c r="AK41" i="7"/>
  <c r="AK37" i="7"/>
  <c r="AK29" i="7"/>
  <c r="AK21" i="7"/>
  <c r="AH73" i="7"/>
  <c r="AH72" i="7"/>
  <c r="AH46" i="7"/>
  <c r="AH41" i="7"/>
  <c r="AH37" i="7"/>
  <c r="AH29" i="7"/>
  <c r="AH21" i="7"/>
  <c r="AE73" i="7"/>
  <c r="AE72" i="7"/>
  <c r="AE46" i="7"/>
  <c r="AE41" i="7"/>
  <c r="AE37" i="7"/>
  <c r="AE29" i="7"/>
  <c r="AE22" i="7"/>
  <c r="AE21" i="7"/>
  <c r="AB72" i="7"/>
  <c r="AB46" i="7"/>
  <c r="AB37" i="7"/>
  <c r="AB21" i="7"/>
  <c r="Y72" i="7"/>
  <c r="Y46" i="7"/>
  <c r="Y37" i="7"/>
  <c r="Y29" i="7"/>
  <c r="Y21" i="7"/>
  <c r="V46" i="7"/>
  <c r="V37" i="7"/>
  <c r="V29" i="7"/>
  <c r="V21" i="7"/>
  <c r="S21" i="7" l="1"/>
  <c r="P73" i="7"/>
  <c r="P46" i="7"/>
  <c r="P37" i="7"/>
  <c r="P29" i="7"/>
  <c r="P21" i="7"/>
  <c r="M72" i="7"/>
  <c r="M46" i="7"/>
  <c r="M29" i="7"/>
  <c r="M21" i="7"/>
  <c r="J72" i="7"/>
  <c r="J46" i="7"/>
  <c r="AM51" i="7" l="1"/>
  <c r="AJ51" i="7"/>
  <c r="AG51" i="7"/>
  <c r="AD51" i="7"/>
  <c r="AA51" i="7"/>
  <c r="X51" i="7"/>
  <c r="U51" i="7"/>
  <c r="R51" i="7"/>
  <c r="O51" i="7"/>
  <c r="L51" i="7"/>
  <c r="I51" i="7"/>
  <c r="F51" i="7"/>
  <c r="AO51" i="7" l="1"/>
  <c r="G46" i="7"/>
  <c r="G29" i="7"/>
  <c r="G21" i="7"/>
  <c r="D29" i="7" l="1"/>
  <c r="S58" i="8" l="1"/>
  <c r="N58" i="8"/>
  <c r="I58" i="8"/>
  <c r="D58" i="8"/>
  <c r="I1" i="8" l="1"/>
  <c r="N1" i="8"/>
  <c r="N2" i="8"/>
  <c r="N3" i="8"/>
  <c r="I6" i="8"/>
  <c r="N7" i="8"/>
  <c r="O28" i="8"/>
  <c r="O81" i="8"/>
  <c r="R81" i="8" s="1"/>
  <c r="T77" i="8"/>
  <c r="W77" i="8" s="1"/>
  <c r="H17" i="8"/>
  <c r="J17" i="8"/>
  <c r="M17" i="8" s="1"/>
  <c r="O17" i="8"/>
  <c r="R17" i="8" s="1"/>
  <c r="T17" i="8"/>
  <c r="W17" i="8" s="1"/>
  <c r="X17" i="8"/>
  <c r="D18" i="8"/>
  <c r="E18" i="8"/>
  <c r="I18" i="8"/>
  <c r="J18" i="8"/>
  <c r="N18" i="8"/>
  <c r="O18" i="8"/>
  <c r="S18" i="8"/>
  <c r="T18" i="8"/>
  <c r="E20" i="8"/>
  <c r="H20" i="8" s="1"/>
  <c r="J20" i="8"/>
  <c r="M20" i="8" s="1"/>
  <c r="O20" i="8"/>
  <c r="R20" i="8" s="1"/>
  <c r="T20" i="8"/>
  <c r="W20" i="8" s="1"/>
  <c r="X20" i="8"/>
  <c r="D23" i="8"/>
  <c r="D276" i="8" s="1"/>
  <c r="E27" i="8"/>
  <c r="H27" i="8" s="1"/>
  <c r="J27" i="8"/>
  <c r="M27" i="8" s="1"/>
  <c r="O27" i="8"/>
  <c r="R27" i="8" s="1"/>
  <c r="T27" i="8"/>
  <c r="W27" i="8" s="1"/>
  <c r="X27" i="8"/>
  <c r="E28" i="8"/>
  <c r="J28" i="8"/>
  <c r="X28" i="8"/>
  <c r="E30" i="8"/>
  <c r="H30" i="8" s="1"/>
  <c r="J30" i="8"/>
  <c r="M30" i="8" s="1"/>
  <c r="O30" i="8"/>
  <c r="R30" i="8" s="1"/>
  <c r="T30" i="8"/>
  <c r="W30" i="8" s="1"/>
  <c r="X30" i="8"/>
  <c r="X31" i="8"/>
  <c r="D32" i="8"/>
  <c r="E32" i="8"/>
  <c r="I32" i="8"/>
  <c r="J32" i="8"/>
  <c r="N32" i="8"/>
  <c r="O32" i="8"/>
  <c r="S32" i="8"/>
  <c r="T32" i="8"/>
  <c r="E34" i="8"/>
  <c r="H34" i="8" s="1"/>
  <c r="J34" i="8"/>
  <c r="M34" i="8" s="1"/>
  <c r="O34" i="8"/>
  <c r="R34" i="8" s="1"/>
  <c r="T34" i="8"/>
  <c r="W34" i="8" s="1"/>
  <c r="X34" i="8"/>
  <c r="D35" i="8"/>
  <c r="E35" i="8"/>
  <c r="I35" i="8"/>
  <c r="J35" i="8"/>
  <c r="N35" i="8"/>
  <c r="O35" i="8"/>
  <c r="S35" i="8"/>
  <c r="T35" i="8"/>
  <c r="E37" i="8"/>
  <c r="H37" i="8" s="1"/>
  <c r="J37" i="8"/>
  <c r="M37" i="8" s="1"/>
  <c r="O37" i="8"/>
  <c r="R37" i="8" s="1"/>
  <c r="T37" i="8"/>
  <c r="W37" i="8" s="1"/>
  <c r="X37" i="8"/>
  <c r="E38" i="8"/>
  <c r="H38" i="8" s="1"/>
  <c r="J38" i="8"/>
  <c r="M38" i="8" s="1"/>
  <c r="T38" i="8"/>
  <c r="W38" i="8" s="1"/>
  <c r="X38" i="8"/>
  <c r="E40" i="8"/>
  <c r="J40" i="8"/>
  <c r="O40" i="8"/>
  <c r="T40" i="8"/>
  <c r="X40" i="8"/>
  <c r="E41" i="8"/>
  <c r="H41" i="8" s="1"/>
  <c r="J41" i="8"/>
  <c r="M41" i="8" s="1"/>
  <c r="X41" i="8"/>
  <c r="E43" i="8"/>
  <c r="H43" i="8" s="1"/>
  <c r="J43" i="8"/>
  <c r="M43" i="8" s="1"/>
  <c r="O43" i="8"/>
  <c r="R43" i="8" s="1"/>
  <c r="T43" i="8"/>
  <c r="W43" i="8" s="1"/>
  <c r="X43" i="8"/>
  <c r="E44" i="8"/>
  <c r="H44" i="8" s="1"/>
  <c r="J44" i="8"/>
  <c r="M44" i="8" s="1"/>
  <c r="X44" i="8"/>
  <c r="E46" i="8"/>
  <c r="H46" i="8" s="1"/>
  <c r="J46" i="8"/>
  <c r="M46" i="8" s="1"/>
  <c r="O46" i="8"/>
  <c r="R46" i="8" s="1"/>
  <c r="T46" i="8"/>
  <c r="W46" i="8" s="1"/>
  <c r="X46" i="8"/>
  <c r="E47" i="8"/>
  <c r="H47" i="8" s="1"/>
  <c r="J47" i="8"/>
  <c r="M47" i="8" s="1"/>
  <c r="X47" i="8"/>
  <c r="E49" i="8"/>
  <c r="H49" i="8" s="1"/>
  <c r="J49" i="8"/>
  <c r="M49" i="8" s="1"/>
  <c r="O49" i="8"/>
  <c r="R49" i="8" s="1"/>
  <c r="T49" i="8"/>
  <c r="W49" i="8" s="1"/>
  <c r="X49" i="8"/>
  <c r="X50" i="8"/>
  <c r="E51" i="8"/>
  <c r="H51" i="8" s="1"/>
  <c r="J51" i="8"/>
  <c r="M51" i="8" s="1"/>
  <c r="X51" i="8"/>
  <c r="E53" i="8"/>
  <c r="H53" i="8" s="1"/>
  <c r="J53" i="8"/>
  <c r="M53" i="8" s="1"/>
  <c r="O53" i="8"/>
  <c r="R53" i="8" s="1"/>
  <c r="T53" i="8"/>
  <c r="W53" i="8" s="1"/>
  <c r="X53" i="8"/>
  <c r="E54" i="8"/>
  <c r="H54" i="8" s="1"/>
  <c r="J54" i="8"/>
  <c r="M54" i="8" s="1"/>
  <c r="X54" i="8"/>
  <c r="E56" i="8"/>
  <c r="H56" i="8" s="1"/>
  <c r="J56" i="8"/>
  <c r="M56" i="8" s="1"/>
  <c r="O56" i="8"/>
  <c r="R56" i="8" s="1"/>
  <c r="T56" i="8"/>
  <c r="W56" i="8" s="1"/>
  <c r="X56" i="8"/>
  <c r="X57" i="8"/>
  <c r="E58" i="8"/>
  <c r="J58" i="8"/>
  <c r="O58" i="8"/>
  <c r="T58" i="8"/>
  <c r="X58" i="8"/>
  <c r="E60" i="8"/>
  <c r="H60" i="8" s="1"/>
  <c r="J60" i="8"/>
  <c r="M60" i="8" s="1"/>
  <c r="O60" i="8"/>
  <c r="R60" i="8" s="1"/>
  <c r="T60" i="8"/>
  <c r="W60" i="8" s="1"/>
  <c r="X60" i="8"/>
  <c r="D61" i="8"/>
  <c r="E61" i="8"/>
  <c r="I61" i="8"/>
  <c r="J61" i="8"/>
  <c r="N61" i="8"/>
  <c r="O61" i="8"/>
  <c r="S61" i="8"/>
  <c r="T61" i="8"/>
  <c r="E63" i="8"/>
  <c r="H63" i="8" s="1"/>
  <c r="J63" i="8"/>
  <c r="M63" i="8" s="1"/>
  <c r="O63" i="8"/>
  <c r="R63" i="8" s="1"/>
  <c r="T63" i="8"/>
  <c r="W63" i="8" s="1"/>
  <c r="X63" i="8"/>
  <c r="D65" i="8"/>
  <c r="E65" i="8"/>
  <c r="I65" i="8"/>
  <c r="J65" i="8"/>
  <c r="N65" i="8"/>
  <c r="O65" i="8"/>
  <c r="S65" i="8"/>
  <c r="T65" i="8"/>
  <c r="E70" i="8"/>
  <c r="H70" i="8" s="1"/>
  <c r="J70" i="8"/>
  <c r="M70" i="8" s="1"/>
  <c r="O70" i="8"/>
  <c r="R70" i="8" s="1"/>
  <c r="T70" i="8"/>
  <c r="W70" i="8" s="1"/>
  <c r="X70" i="8"/>
  <c r="D71" i="8"/>
  <c r="E71" i="8"/>
  <c r="I71" i="8"/>
  <c r="J71" i="8"/>
  <c r="N71" i="8"/>
  <c r="O71" i="8"/>
  <c r="S71" i="8"/>
  <c r="T71" i="8"/>
  <c r="E73" i="8"/>
  <c r="H73" i="8" s="1"/>
  <c r="J73" i="8"/>
  <c r="M73" i="8" s="1"/>
  <c r="O73" i="8"/>
  <c r="R73" i="8" s="1"/>
  <c r="T73" i="8"/>
  <c r="W73" i="8" s="1"/>
  <c r="X73" i="8"/>
  <c r="E74" i="8"/>
  <c r="H74" i="8" s="1"/>
  <c r="J74" i="8"/>
  <c r="M74" i="8" s="1"/>
  <c r="X74" i="8"/>
  <c r="E76" i="8"/>
  <c r="H76" i="8" s="1"/>
  <c r="J76" i="8"/>
  <c r="M76" i="8" s="1"/>
  <c r="O76" i="8"/>
  <c r="R76" i="8" s="1"/>
  <c r="T76" i="8"/>
  <c r="W76" i="8" s="1"/>
  <c r="X76" i="8"/>
  <c r="E77" i="8"/>
  <c r="H77" i="8" s="1"/>
  <c r="J77" i="8"/>
  <c r="M77" i="8" s="1"/>
  <c r="X77" i="8"/>
  <c r="E79" i="8"/>
  <c r="H79" i="8" s="1"/>
  <c r="J79" i="8"/>
  <c r="M79" i="8" s="1"/>
  <c r="O79" i="8"/>
  <c r="R79" i="8" s="1"/>
  <c r="T79" i="8"/>
  <c r="W79" i="8" s="1"/>
  <c r="X79" i="8"/>
  <c r="X80" i="8"/>
  <c r="E81" i="8"/>
  <c r="H81" i="8" s="1"/>
  <c r="J81" i="8"/>
  <c r="M81" i="8" s="1"/>
  <c r="X81" i="8"/>
  <c r="E83" i="8"/>
  <c r="H83" i="8" s="1"/>
  <c r="J83" i="8"/>
  <c r="M83" i="8" s="1"/>
  <c r="O83" i="8"/>
  <c r="R83" i="8" s="1"/>
  <c r="T83" i="8"/>
  <c r="W83" i="8" s="1"/>
  <c r="X83" i="8"/>
  <c r="E85" i="8"/>
  <c r="H85" i="8" s="1"/>
  <c r="J85" i="8"/>
  <c r="M85" i="8" s="1"/>
  <c r="O85" i="8"/>
  <c r="R85" i="8" s="1"/>
  <c r="T85" i="8"/>
  <c r="W85" i="8" s="1"/>
  <c r="X85" i="8"/>
  <c r="X86" i="8"/>
  <c r="D87" i="8"/>
  <c r="E87" i="8"/>
  <c r="I87" i="8"/>
  <c r="J87" i="8"/>
  <c r="N87" i="8"/>
  <c r="O87" i="8"/>
  <c r="S87" i="8"/>
  <c r="T87" i="8"/>
  <c r="E89" i="8"/>
  <c r="H89" i="8" s="1"/>
  <c r="J89" i="8"/>
  <c r="M89" i="8" s="1"/>
  <c r="O89" i="8"/>
  <c r="R89" i="8" s="1"/>
  <c r="T89" i="8"/>
  <c r="W89" i="8" s="1"/>
  <c r="X89" i="8"/>
  <c r="X90" i="8"/>
  <c r="D91" i="8"/>
  <c r="E91" i="8"/>
  <c r="I91" i="8"/>
  <c r="J91" i="8"/>
  <c r="N91" i="8"/>
  <c r="O91" i="8"/>
  <c r="S91" i="8"/>
  <c r="T91" i="8"/>
  <c r="E93" i="8"/>
  <c r="H93" i="8" s="1"/>
  <c r="J93" i="8"/>
  <c r="M93" i="8" s="1"/>
  <c r="O93" i="8"/>
  <c r="R93" i="8" s="1"/>
  <c r="T93" i="8"/>
  <c r="W93" i="8" s="1"/>
  <c r="X93" i="8"/>
  <c r="E94" i="8"/>
  <c r="H94" i="8" s="1"/>
  <c r="J94" i="8"/>
  <c r="M94" i="8" s="1"/>
  <c r="X94" i="8"/>
  <c r="E96" i="8"/>
  <c r="H96" i="8" s="1"/>
  <c r="J96" i="8"/>
  <c r="M96" i="8" s="1"/>
  <c r="O96" i="8"/>
  <c r="R96" i="8" s="1"/>
  <c r="T96" i="8"/>
  <c r="W96" i="8" s="1"/>
  <c r="X96" i="8"/>
  <c r="E97" i="8"/>
  <c r="H97" i="8" s="1"/>
  <c r="J97" i="8"/>
  <c r="M97" i="8" s="1"/>
  <c r="X97" i="8"/>
  <c r="E99" i="8"/>
  <c r="H99" i="8" s="1"/>
  <c r="J99" i="8"/>
  <c r="M99" i="8" s="1"/>
  <c r="O99" i="8"/>
  <c r="R99" i="8" s="1"/>
  <c r="T99" i="8"/>
  <c r="W99" i="8" s="1"/>
  <c r="X99" i="8"/>
  <c r="E100" i="8"/>
  <c r="H100" i="8" s="1"/>
  <c r="J100" i="8"/>
  <c r="M100" i="8" s="1"/>
  <c r="X100" i="8"/>
  <c r="E102" i="8"/>
  <c r="H102" i="8" s="1"/>
  <c r="J102" i="8"/>
  <c r="M102" i="8" s="1"/>
  <c r="O102" i="8"/>
  <c r="R102" i="8" s="1"/>
  <c r="T102" i="8"/>
  <c r="W102" i="8" s="1"/>
  <c r="E107" i="8"/>
  <c r="H107" i="8" s="1"/>
  <c r="J107" i="8"/>
  <c r="M107" i="8" s="1"/>
  <c r="O107" i="8"/>
  <c r="R107" i="8" s="1"/>
  <c r="T107" i="8"/>
  <c r="W107" i="8" s="1"/>
  <c r="X107" i="8"/>
  <c r="E108" i="8"/>
  <c r="H108" i="8" s="1"/>
  <c r="J108" i="8"/>
  <c r="M108" i="8" s="1"/>
  <c r="X108" i="8"/>
  <c r="E110" i="8"/>
  <c r="H110" i="8" s="1"/>
  <c r="O110" i="8"/>
  <c r="R110" i="8" s="1"/>
  <c r="T110" i="8"/>
  <c r="W110" i="8" s="1"/>
  <c r="X110" i="8"/>
  <c r="D111" i="8"/>
  <c r="E111" i="8"/>
  <c r="J111" i="8"/>
  <c r="N111" i="8"/>
  <c r="O111" i="8"/>
  <c r="S111" i="8"/>
  <c r="T111" i="8"/>
  <c r="E117" i="8"/>
  <c r="H117" i="8" s="1"/>
  <c r="J117" i="8"/>
  <c r="M117" i="8" s="1"/>
  <c r="O117" i="8"/>
  <c r="R117" i="8" s="1"/>
  <c r="T117" i="8"/>
  <c r="W117" i="8" s="1"/>
  <c r="X117" i="8"/>
  <c r="D118" i="8"/>
  <c r="D114" i="8" s="1"/>
  <c r="E118" i="8"/>
  <c r="I118" i="8"/>
  <c r="I114" i="8" s="1"/>
  <c r="J118" i="8"/>
  <c r="N118" i="8"/>
  <c r="N114" i="8" s="1"/>
  <c r="O118" i="8"/>
  <c r="S118" i="8"/>
  <c r="S114" i="8" s="1"/>
  <c r="T118" i="8"/>
  <c r="E120" i="8"/>
  <c r="H120" i="8" s="1"/>
  <c r="J120" i="8"/>
  <c r="M120" i="8" s="1"/>
  <c r="O120" i="8"/>
  <c r="R120" i="8" s="1"/>
  <c r="T120" i="8"/>
  <c r="W120" i="8" s="1"/>
  <c r="X120" i="8"/>
  <c r="D121" i="8"/>
  <c r="D115" i="8" s="1"/>
  <c r="E121" i="8"/>
  <c r="I121" i="8"/>
  <c r="J121" i="8"/>
  <c r="N115" i="8"/>
  <c r="N25" i="8" s="1"/>
  <c r="N278" i="8" s="1"/>
  <c r="S121" i="8"/>
  <c r="E123" i="8"/>
  <c r="H123" i="8" s="1"/>
  <c r="J123" i="8"/>
  <c r="M123" i="8" s="1"/>
  <c r="O123" i="8"/>
  <c r="R123" i="8" s="1"/>
  <c r="T123" i="8"/>
  <c r="W123" i="8" s="1"/>
  <c r="X123" i="8"/>
  <c r="E125" i="8"/>
  <c r="H125" i="8" s="1"/>
  <c r="J125" i="8"/>
  <c r="M125" i="8" s="1"/>
  <c r="O125" i="8"/>
  <c r="R125" i="8" s="1"/>
  <c r="T125" i="8"/>
  <c r="W125" i="8" s="1"/>
  <c r="X125" i="8"/>
  <c r="E127" i="8"/>
  <c r="H127" i="8" s="1"/>
  <c r="J127" i="8"/>
  <c r="M127" i="8" s="1"/>
  <c r="O127" i="8"/>
  <c r="R127" i="8" s="1"/>
  <c r="T127" i="8"/>
  <c r="W127" i="8" s="1"/>
  <c r="X127" i="8"/>
  <c r="E130" i="8"/>
  <c r="H130" i="8" s="1"/>
  <c r="J130" i="8"/>
  <c r="M130" i="8" s="1"/>
  <c r="O130" i="8"/>
  <c r="R130" i="8" s="1"/>
  <c r="T130" i="8"/>
  <c r="W130" i="8" s="1"/>
  <c r="X130" i="8"/>
  <c r="E132" i="8"/>
  <c r="H132" i="8" s="1"/>
  <c r="J132" i="8"/>
  <c r="M132" i="8" s="1"/>
  <c r="O132" i="8"/>
  <c r="R132" i="8" s="1"/>
  <c r="T132" i="8"/>
  <c r="W132" i="8" s="1"/>
  <c r="X132" i="8"/>
  <c r="E133" i="8"/>
  <c r="H133" i="8" s="1"/>
  <c r="J133" i="8"/>
  <c r="M133" i="8" s="1"/>
  <c r="X133" i="8"/>
  <c r="E135" i="8"/>
  <c r="H135" i="8" s="1"/>
  <c r="J135" i="8"/>
  <c r="M135" i="8" s="1"/>
  <c r="O135" i="8"/>
  <c r="R135" i="8" s="1"/>
  <c r="T135" i="8"/>
  <c r="W135" i="8" s="1"/>
  <c r="X135" i="8"/>
  <c r="E136" i="8"/>
  <c r="H136" i="8" s="1"/>
  <c r="J136" i="8"/>
  <c r="M136" i="8" s="1"/>
  <c r="W136" i="8"/>
  <c r="X136" i="8"/>
  <c r="E138" i="8"/>
  <c r="H138" i="8" s="1"/>
  <c r="J138" i="8"/>
  <c r="M138" i="8" s="1"/>
  <c r="O138" i="8"/>
  <c r="R138" i="8" s="1"/>
  <c r="T138" i="8"/>
  <c r="W138" i="8" s="1"/>
  <c r="X138" i="8"/>
  <c r="D139" i="8"/>
  <c r="E139" i="8"/>
  <c r="I139" i="8"/>
  <c r="J139" i="8"/>
  <c r="N139" i="8"/>
  <c r="O139" i="8"/>
  <c r="S139" i="8"/>
  <c r="T139" i="8"/>
  <c r="E140" i="8"/>
  <c r="H140" i="8" s="1"/>
  <c r="J140" i="8"/>
  <c r="M140" i="8" s="1"/>
  <c r="X140" i="8"/>
  <c r="E142" i="8"/>
  <c r="H142" i="8" s="1"/>
  <c r="J142" i="8"/>
  <c r="M142" i="8" s="1"/>
  <c r="O142" i="8"/>
  <c r="R142" i="8" s="1"/>
  <c r="T142" i="8"/>
  <c r="W142" i="8" s="1"/>
  <c r="X142" i="8"/>
  <c r="X143" i="8"/>
  <c r="E145" i="8"/>
  <c r="H145" i="8" s="1"/>
  <c r="J145" i="8"/>
  <c r="M145" i="8" s="1"/>
  <c r="X145" i="8"/>
  <c r="E147" i="8"/>
  <c r="H147" i="8" s="1"/>
  <c r="J147" i="8"/>
  <c r="M147" i="8" s="1"/>
  <c r="O147" i="8"/>
  <c r="R147" i="8" s="1"/>
  <c r="T147" i="8"/>
  <c r="W147" i="8" s="1"/>
  <c r="X147" i="8"/>
  <c r="E148" i="8"/>
  <c r="H148" i="8" s="1"/>
  <c r="J148" i="8"/>
  <c r="M148" i="8" s="1"/>
  <c r="X148" i="8"/>
  <c r="E150" i="8"/>
  <c r="H150" i="8" s="1"/>
  <c r="J150" i="8"/>
  <c r="M150" i="8" s="1"/>
  <c r="O150" i="8"/>
  <c r="R150" i="8" s="1"/>
  <c r="T150" i="8"/>
  <c r="W150" i="8" s="1"/>
  <c r="X150" i="8"/>
  <c r="E151" i="8"/>
  <c r="H151" i="8" s="1"/>
  <c r="J151" i="8"/>
  <c r="M151" i="8" s="1"/>
  <c r="X151" i="8"/>
  <c r="E153" i="8"/>
  <c r="H153" i="8" s="1"/>
  <c r="J153" i="8"/>
  <c r="M153" i="8" s="1"/>
  <c r="O153" i="8"/>
  <c r="R153" i="8" s="1"/>
  <c r="T153" i="8"/>
  <c r="W153" i="8" s="1"/>
  <c r="X153" i="8"/>
  <c r="E154" i="8"/>
  <c r="H154" i="8" s="1"/>
  <c r="J154" i="8"/>
  <c r="M154" i="8" s="1"/>
  <c r="X154" i="8"/>
  <c r="E156" i="8"/>
  <c r="H156" i="8" s="1"/>
  <c r="J156" i="8"/>
  <c r="M156" i="8" s="1"/>
  <c r="O156" i="8"/>
  <c r="R156" i="8" s="1"/>
  <c r="T156" i="8"/>
  <c r="W156" i="8" s="1"/>
  <c r="X156" i="8"/>
  <c r="D157" i="8"/>
  <c r="E157" i="8"/>
  <c r="I157" i="8"/>
  <c r="J157" i="8"/>
  <c r="N157" i="8"/>
  <c r="O157" i="8"/>
  <c r="S157" i="8"/>
  <c r="T157" i="8"/>
  <c r="E159" i="8"/>
  <c r="H159" i="8" s="1"/>
  <c r="J159" i="8"/>
  <c r="M159" i="8" s="1"/>
  <c r="O159" i="8"/>
  <c r="R159" i="8" s="1"/>
  <c r="T159" i="8"/>
  <c r="W159" i="8" s="1"/>
  <c r="X159" i="8"/>
  <c r="E160" i="8"/>
  <c r="H160" i="8" s="1"/>
  <c r="J160" i="8"/>
  <c r="M160" i="8" s="1"/>
  <c r="X160" i="8"/>
  <c r="E162" i="8"/>
  <c r="H162" i="8" s="1"/>
  <c r="J162" i="8"/>
  <c r="M162" i="8" s="1"/>
  <c r="O162" i="8"/>
  <c r="R162" i="8" s="1"/>
  <c r="T162" i="8"/>
  <c r="W162" i="8" s="1"/>
  <c r="X162" i="8"/>
  <c r="D163" i="8"/>
  <c r="E163" i="8"/>
  <c r="I163" i="8"/>
  <c r="J163" i="8"/>
  <c r="N163" i="8"/>
  <c r="O163" i="8"/>
  <c r="S163" i="8"/>
  <c r="T163" i="8"/>
  <c r="E165" i="8"/>
  <c r="H165" i="8" s="1"/>
  <c r="J165" i="8"/>
  <c r="M165" i="8" s="1"/>
  <c r="O165" i="8"/>
  <c r="R165" i="8" s="1"/>
  <c r="T165" i="8"/>
  <c r="W165" i="8" s="1"/>
  <c r="X165" i="8"/>
  <c r="E167" i="8"/>
  <c r="H167" i="8" s="1"/>
  <c r="J167" i="8"/>
  <c r="M167" i="8" s="1"/>
  <c r="O167" i="8"/>
  <c r="R167" i="8" s="1"/>
  <c r="T167" i="8"/>
  <c r="W167" i="8" s="1"/>
  <c r="X167" i="8"/>
  <c r="E169" i="8"/>
  <c r="H169" i="8" s="1"/>
  <c r="J169" i="8"/>
  <c r="M169" i="8" s="1"/>
  <c r="O169" i="8"/>
  <c r="R169" i="8" s="1"/>
  <c r="T169" i="8"/>
  <c r="W169" i="8" s="1"/>
  <c r="X169" i="8"/>
  <c r="E170" i="8"/>
  <c r="H170" i="8" s="1"/>
  <c r="J170" i="8"/>
  <c r="M170" i="8" s="1"/>
  <c r="X170" i="8"/>
  <c r="E172" i="8"/>
  <c r="H172" i="8" s="1"/>
  <c r="J172" i="8"/>
  <c r="M172" i="8" s="1"/>
  <c r="O172" i="8"/>
  <c r="R172" i="8" s="1"/>
  <c r="T172" i="8"/>
  <c r="W172" i="8" s="1"/>
  <c r="X172" i="8"/>
  <c r="X173" i="8"/>
  <c r="D174" i="8"/>
  <c r="E174" i="8"/>
  <c r="J174" i="8"/>
  <c r="N174" i="8"/>
  <c r="O174" i="8"/>
  <c r="S174" i="8"/>
  <c r="T174" i="8"/>
  <c r="E176" i="8"/>
  <c r="H176" i="8" s="1"/>
  <c r="J176" i="8"/>
  <c r="M176" i="8" s="1"/>
  <c r="O176" i="8"/>
  <c r="R176" i="8" s="1"/>
  <c r="T176" i="8"/>
  <c r="W176" i="8" s="1"/>
  <c r="X176" i="8"/>
  <c r="E177" i="8"/>
  <c r="H177" i="8" s="1"/>
  <c r="J177" i="8"/>
  <c r="M177" i="8" s="1"/>
  <c r="X177" i="8"/>
  <c r="E179" i="8"/>
  <c r="H179" i="8" s="1"/>
  <c r="J179" i="8"/>
  <c r="M179" i="8" s="1"/>
  <c r="O179" i="8"/>
  <c r="R179" i="8" s="1"/>
  <c r="T179" i="8"/>
  <c r="W179" i="8" s="1"/>
  <c r="X179" i="8"/>
  <c r="D180" i="8"/>
  <c r="E180" i="8"/>
  <c r="I180" i="8"/>
  <c r="J180" i="8"/>
  <c r="N180" i="8"/>
  <c r="O180" i="8"/>
  <c r="S180" i="8"/>
  <c r="T180" i="8"/>
  <c r="E182" i="8"/>
  <c r="H182" i="8" s="1"/>
  <c r="J182" i="8"/>
  <c r="M182" i="8" s="1"/>
  <c r="O182" i="8"/>
  <c r="R182" i="8" s="1"/>
  <c r="T182" i="8"/>
  <c r="W182" i="8" s="1"/>
  <c r="X182" i="8"/>
  <c r="E184" i="8"/>
  <c r="H184" i="8" s="1"/>
  <c r="J184" i="8"/>
  <c r="M184" i="8" s="1"/>
  <c r="O184" i="8"/>
  <c r="R184" i="8" s="1"/>
  <c r="T184" i="8"/>
  <c r="W184" i="8" s="1"/>
  <c r="X184" i="8"/>
  <c r="E185" i="8"/>
  <c r="H185" i="8" s="1"/>
  <c r="J185" i="8"/>
  <c r="M185" i="8" s="1"/>
  <c r="X185" i="8"/>
  <c r="E187" i="8"/>
  <c r="H187" i="8" s="1"/>
  <c r="J187" i="8"/>
  <c r="M187" i="8" s="1"/>
  <c r="O187" i="8"/>
  <c r="R187" i="8" s="1"/>
  <c r="T187" i="8"/>
  <c r="W187" i="8" s="1"/>
  <c r="X187" i="8"/>
  <c r="E189" i="8"/>
  <c r="H189" i="8" s="1"/>
  <c r="J189" i="8"/>
  <c r="M189" i="8" s="1"/>
  <c r="O189" i="8"/>
  <c r="R189" i="8" s="1"/>
  <c r="T189" i="8"/>
  <c r="W189" i="8" s="1"/>
  <c r="X189" i="8"/>
  <c r="E190" i="8"/>
  <c r="H190" i="8" s="1"/>
  <c r="J190" i="8"/>
  <c r="M190" i="8" s="1"/>
  <c r="X190" i="8"/>
  <c r="E192" i="8"/>
  <c r="H192" i="8" s="1"/>
  <c r="J192" i="8"/>
  <c r="M192" i="8" s="1"/>
  <c r="O192" i="8"/>
  <c r="R192" i="8" s="1"/>
  <c r="T192" i="8"/>
  <c r="W192" i="8" s="1"/>
  <c r="X192" i="8"/>
  <c r="E194" i="8"/>
  <c r="H194" i="8" s="1"/>
  <c r="J194" i="8"/>
  <c r="M194" i="8" s="1"/>
  <c r="O194" i="8"/>
  <c r="R194" i="8" s="1"/>
  <c r="T194" i="8"/>
  <c r="W194" i="8" s="1"/>
  <c r="X194" i="8"/>
  <c r="E195" i="8"/>
  <c r="H195" i="8" s="1"/>
  <c r="J195" i="8"/>
  <c r="M195" i="8" s="1"/>
  <c r="X195" i="8"/>
  <c r="E197" i="8"/>
  <c r="H197" i="8" s="1"/>
  <c r="J197" i="8"/>
  <c r="M197" i="8" s="1"/>
  <c r="O197" i="8"/>
  <c r="R197" i="8" s="1"/>
  <c r="T197" i="8"/>
  <c r="W197" i="8" s="1"/>
  <c r="X197" i="8"/>
  <c r="E199" i="8"/>
  <c r="H199" i="8" s="1"/>
  <c r="J199" i="8"/>
  <c r="M199" i="8" s="1"/>
  <c r="O199" i="8"/>
  <c r="R199" i="8" s="1"/>
  <c r="T199" i="8"/>
  <c r="W199" i="8" s="1"/>
  <c r="X199" i="8"/>
  <c r="E201" i="8"/>
  <c r="H201" i="8" s="1"/>
  <c r="J201" i="8"/>
  <c r="M201" i="8" s="1"/>
  <c r="O201" i="8"/>
  <c r="R201" i="8" s="1"/>
  <c r="T201" i="8"/>
  <c r="W201" i="8" s="1"/>
  <c r="X201" i="8"/>
  <c r="E202" i="8"/>
  <c r="H202" i="8" s="1"/>
  <c r="J202" i="8"/>
  <c r="M202" i="8" s="1"/>
  <c r="X202" i="8"/>
  <c r="E203" i="8"/>
  <c r="H203" i="8" s="1"/>
  <c r="J203" i="8"/>
  <c r="M203" i="8" s="1"/>
  <c r="X203" i="8"/>
  <c r="E205" i="8"/>
  <c r="H205" i="8" s="1"/>
  <c r="J205" i="8"/>
  <c r="M205" i="8" s="1"/>
  <c r="O205" i="8"/>
  <c r="R205" i="8" s="1"/>
  <c r="T205" i="8"/>
  <c r="W205" i="8" s="1"/>
  <c r="X205" i="8"/>
  <c r="E206" i="8"/>
  <c r="H206" i="8" s="1"/>
  <c r="J206" i="8"/>
  <c r="M206" i="8" s="1"/>
  <c r="X206" i="8"/>
  <c r="E208" i="8"/>
  <c r="H208" i="8" s="1"/>
  <c r="J208" i="8"/>
  <c r="M208" i="8" s="1"/>
  <c r="O208" i="8"/>
  <c r="R208" i="8" s="1"/>
  <c r="T208" i="8"/>
  <c r="W208" i="8" s="1"/>
  <c r="X208" i="8"/>
  <c r="E209" i="8"/>
  <c r="H209" i="8" s="1"/>
  <c r="J209" i="8"/>
  <c r="M209" i="8" s="1"/>
  <c r="X209" i="8"/>
  <c r="E211" i="8"/>
  <c r="H211" i="8" s="1"/>
  <c r="J211" i="8"/>
  <c r="M211" i="8" s="1"/>
  <c r="O211" i="8"/>
  <c r="R211" i="8" s="1"/>
  <c r="T211" i="8"/>
  <c r="W211" i="8" s="1"/>
  <c r="X211" i="8"/>
  <c r="E212" i="8"/>
  <c r="H212" i="8" s="1"/>
  <c r="J212" i="8"/>
  <c r="M212" i="8" s="1"/>
  <c r="X212" i="8"/>
  <c r="E214" i="8"/>
  <c r="H214" i="8" s="1"/>
  <c r="J214" i="8"/>
  <c r="M214" i="8" s="1"/>
  <c r="O214" i="8"/>
  <c r="R214" i="8" s="1"/>
  <c r="T214" i="8"/>
  <c r="W214" i="8" s="1"/>
  <c r="X214" i="8"/>
  <c r="E216" i="8"/>
  <c r="H216" i="8" s="1"/>
  <c r="J216" i="8"/>
  <c r="M216" i="8" s="1"/>
  <c r="O216" i="8"/>
  <c r="R216" i="8" s="1"/>
  <c r="T216" i="8"/>
  <c r="W216" i="8" s="1"/>
  <c r="X216" i="8"/>
  <c r="E217" i="8"/>
  <c r="H217" i="8" s="1"/>
  <c r="J217" i="8"/>
  <c r="M217" i="8" s="1"/>
  <c r="X217" i="8"/>
  <c r="E219" i="8"/>
  <c r="H219" i="8" s="1"/>
  <c r="J219" i="8"/>
  <c r="M219" i="8" s="1"/>
  <c r="O219" i="8"/>
  <c r="R219" i="8" s="1"/>
  <c r="T219" i="8"/>
  <c r="W219" i="8" s="1"/>
  <c r="X219" i="8"/>
  <c r="E220" i="8"/>
  <c r="H220" i="8" s="1"/>
  <c r="J220" i="8"/>
  <c r="M220" i="8" s="1"/>
  <c r="X220" i="8"/>
  <c r="E222" i="8"/>
  <c r="H222" i="8" s="1"/>
  <c r="J222" i="8"/>
  <c r="M222" i="8" s="1"/>
  <c r="O222" i="8"/>
  <c r="R222" i="8" s="1"/>
  <c r="T222" i="8"/>
  <c r="W222" i="8" s="1"/>
  <c r="X222" i="8"/>
  <c r="D223" i="8"/>
  <c r="E223" i="8"/>
  <c r="I223" i="8"/>
  <c r="J223" i="8"/>
  <c r="N223" i="8"/>
  <c r="O223" i="8"/>
  <c r="S223" i="8"/>
  <c r="T223" i="8"/>
  <c r="E225" i="8"/>
  <c r="H225" i="8" s="1"/>
  <c r="J225" i="8"/>
  <c r="M225" i="8" s="1"/>
  <c r="O225" i="8"/>
  <c r="R225" i="8" s="1"/>
  <c r="T225" i="8"/>
  <c r="W225" i="8" s="1"/>
  <c r="X225" i="8"/>
  <c r="E226" i="8"/>
  <c r="H226" i="8" s="1"/>
  <c r="J226" i="8"/>
  <c r="M226" i="8" s="1"/>
  <c r="X226" i="8"/>
  <c r="E228" i="8"/>
  <c r="H228" i="8" s="1"/>
  <c r="J228" i="8"/>
  <c r="M228" i="8" s="1"/>
  <c r="O228" i="8"/>
  <c r="R228" i="8" s="1"/>
  <c r="T228" i="8"/>
  <c r="W228" i="8" s="1"/>
  <c r="X228" i="8"/>
  <c r="E229" i="8"/>
  <c r="H229" i="8" s="1"/>
  <c r="J229" i="8"/>
  <c r="M229" i="8" s="1"/>
  <c r="X229" i="8"/>
  <c r="E231" i="8"/>
  <c r="H231" i="8" s="1"/>
  <c r="J231" i="8"/>
  <c r="M231" i="8" s="1"/>
  <c r="O231" i="8"/>
  <c r="R231" i="8" s="1"/>
  <c r="T231" i="8"/>
  <c r="W231" i="8" s="1"/>
  <c r="X231" i="8"/>
  <c r="D232" i="8"/>
  <c r="E232" i="8"/>
  <c r="I232" i="8"/>
  <c r="J232" i="8"/>
  <c r="N232" i="8"/>
  <c r="O232" i="8"/>
  <c r="S232" i="8"/>
  <c r="T232" i="8"/>
  <c r="D234" i="8"/>
  <c r="I234" i="8"/>
  <c r="N234" i="8"/>
  <c r="S234" i="8"/>
  <c r="E237" i="8"/>
  <c r="H237" i="8" s="1"/>
  <c r="J237" i="8"/>
  <c r="M237" i="8" s="1"/>
  <c r="O237" i="8"/>
  <c r="R237" i="8" s="1"/>
  <c r="T237" i="8"/>
  <c r="W237" i="8" s="1"/>
  <c r="X237" i="8"/>
  <c r="E239" i="8"/>
  <c r="H239" i="8" s="1"/>
  <c r="J239" i="8"/>
  <c r="M239" i="8" s="1"/>
  <c r="O239" i="8"/>
  <c r="R239" i="8" s="1"/>
  <c r="T239" i="8"/>
  <c r="W239" i="8" s="1"/>
  <c r="X239" i="8"/>
  <c r="D240" i="8"/>
  <c r="D235" i="8" s="1"/>
  <c r="E240" i="8"/>
  <c r="I240" i="8"/>
  <c r="I235" i="8" s="1"/>
  <c r="J240" i="8"/>
  <c r="N240" i="8"/>
  <c r="O240" i="8"/>
  <c r="S240" i="8"/>
  <c r="S235" i="8" s="1"/>
  <c r="T240" i="8"/>
  <c r="E242" i="8"/>
  <c r="H242" i="8" s="1"/>
  <c r="J242" i="8"/>
  <c r="M242" i="8" s="1"/>
  <c r="O242" i="8"/>
  <c r="R242" i="8" s="1"/>
  <c r="T242" i="8"/>
  <c r="W242" i="8" s="1"/>
  <c r="X242" i="8"/>
  <c r="E244" i="8"/>
  <c r="H244" i="8" s="1"/>
  <c r="J244" i="8"/>
  <c r="M244" i="8" s="1"/>
  <c r="O244" i="8"/>
  <c r="R244" i="8" s="1"/>
  <c r="T244" i="8"/>
  <c r="W244" i="8" s="1"/>
  <c r="X244" i="8"/>
  <c r="E246" i="8"/>
  <c r="H246" i="8" s="1"/>
  <c r="J246" i="8"/>
  <c r="M246" i="8" s="1"/>
  <c r="O246" i="8"/>
  <c r="R246" i="8" s="1"/>
  <c r="T246" i="8"/>
  <c r="W246" i="8" s="1"/>
  <c r="X246" i="8"/>
  <c r="E255" i="8"/>
  <c r="H255" i="8" s="1"/>
  <c r="J255" i="8"/>
  <c r="M255" i="8" s="1"/>
  <c r="X255" i="8"/>
  <c r="D257" i="8"/>
  <c r="I257" i="8"/>
  <c r="N257" i="8"/>
  <c r="S257" i="8"/>
  <c r="E261" i="8"/>
  <c r="H261" i="8" s="1"/>
  <c r="J261" i="8"/>
  <c r="M261" i="8" s="1"/>
  <c r="O261" i="8"/>
  <c r="R261" i="8" s="1"/>
  <c r="T261" i="8"/>
  <c r="W261" i="8" s="1"/>
  <c r="X261" i="8"/>
  <c r="D262" i="8"/>
  <c r="E262" i="8"/>
  <c r="I262" i="8"/>
  <c r="J262" i="8"/>
  <c r="N262" i="8"/>
  <c r="O262" i="8"/>
  <c r="S262" i="8"/>
  <c r="T262" i="8"/>
  <c r="E264" i="8"/>
  <c r="H264" i="8" s="1"/>
  <c r="J264" i="8"/>
  <c r="M264" i="8" s="1"/>
  <c r="O264" i="8"/>
  <c r="R264" i="8" s="1"/>
  <c r="T264" i="8"/>
  <c r="W264" i="8" s="1"/>
  <c r="X264" i="8"/>
  <c r="E265" i="8"/>
  <c r="H265" i="8" s="1"/>
  <c r="R265" i="8"/>
  <c r="W265" i="8"/>
  <c r="X265" i="8"/>
  <c r="E268" i="8"/>
  <c r="H268" i="8" s="1"/>
  <c r="J268" i="8"/>
  <c r="M268" i="8" s="1"/>
  <c r="O268" i="8"/>
  <c r="R268" i="8" s="1"/>
  <c r="T268" i="8"/>
  <c r="W268" i="8" s="1"/>
  <c r="X268" i="8"/>
  <c r="E270" i="8"/>
  <c r="H270" i="8" s="1"/>
  <c r="J270" i="8"/>
  <c r="M270" i="8" s="1"/>
  <c r="O270" i="8"/>
  <c r="R270" i="8" s="1"/>
  <c r="T270" i="8"/>
  <c r="W270" i="8" s="1"/>
  <c r="X270" i="8"/>
  <c r="E271" i="8"/>
  <c r="J271" i="8"/>
  <c r="O271" i="8"/>
  <c r="T271" i="8"/>
  <c r="F10" i="2"/>
  <c r="I10" i="2"/>
  <c r="L10" i="2"/>
  <c r="O10" i="2"/>
  <c r="P10" i="2"/>
  <c r="AB10" i="2" s="1"/>
  <c r="D11" i="2"/>
  <c r="G11" i="2"/>
  <c r="J11" i="2"/>
  <c r="M11" i="2"/>
  <c r="F12" i="2"/>
  <c r="I12" i="2"/>
  <c r="L12" i="2"/>
  <c r="O12" i="2"/>
  <c r="P12" i="2"/>
  <c r="AB12" i="2" s="1"/>
  <c r="F13" i="2"/>
  <c r="I13" i="2"/>
  <c r="L13" i="2"/>
  <c r="O13" i="2"/>
  <c r="P13" i="2"/>
  <c r="AB13" i="2" s="1"/>
  <c r="F14" i="2"/>
  <c r="I14" i="2"/>
  <c r="L14" i="2"/>
  <c r="O14" i="2"/>
  <c r="P14" i="2"/>
  <c r="AB14" i="2" s="1"/>
  <c r="F15" i="2"/>
  <c r="I15" i="2"/>
  <c r="L15" i="2"/>
  <c r="O15" i="2"/>
  <c r="P15" i="2"/>
  <c r="AB15" i="2" s="1"/>
  <c r="F16" i="2"/>
  <c r="I16" i="2"/>
  <c r="L16" i="2"/>
  <c r="O16" i="2"/>
  <c r="P16" i="2"/>
  <c r="AB16" i="2" s="1"/>
  <c r="F17" i="2"/>
  <c r="I17" i="2"/>
  <c r="L17" i="2"/>
  <c r="O17" i="2"/>
  <c r="P17" i="2"/>
  <c r="AB17" i="2" s="1"/>
  <c r="F18" i="2"/>
  <c r="I18" i="2"/>
  <c r="L18" i="2"/>
  <c r="O18" i="2"/>
  <c r="P18" i="2"/>
  <c r="AB18" i="2" s="1"/>
  <c r="F19" i="2"/>
  <c r="I19" i="2"/>
  <c r="L19" i="2"/>
  <c r="O19" i="2"/>
  <c r="P19" i="2"/>
  <c r="AB19" i="2" s="1"/>
  <c r="F20" i="2"/>
  <c r="I20" i="2"/>
  <c r="L20" i="2"/>
  <c r="O20" i="2"/>
  <c r="P20" i="2"/>
  <c r="AB20" i="2" s="1"/>
  <c r="F21" i="2"/>
  <c r="I21" i="2"/>
  <c r="L21" i="2"/>
  <c r="O21" i="2"/>
  <c r="P21" i="2"/>
  <c r="AB21" i="2" s="1"/>
  <c r="F22" i="2"/>
  <c r="I22" i="2"/>
  <c r="L22" i="2"/>
  <c r="O22" i="2"/>
  <c r="P22" i="2"/>
  <c r="AB22" i="2" s="1"/>
  <c r="F23" i="2"/>
  <c r="I23" i="2"/>
  <c r="L23" i="2"/>
  <c r="O23" i="2"/>
  <c r="P23" i="2"/>
  <c r="AB23" i="2" s="1"/>
  <c r="F24" i="2"/>
  <c r="I24" i="2"/>
  <c r="L24" i="2"/>
  <c r="O24" i="2"/>
  <c r="P24" i="2"/>
  <c r="AB24" i="2" s="1"/>
  <c r="F25" i="2"/>
  <c r="I25" i="2"/>
  <c r="L25" i="2"/>
  <c r="O25" i="2"/>
  <c r="P25" i="2"/>
  <c r="AB25" i="2" s="1"/>
  <c r="F26" i="2"/>
  <c r="I26" i="2"/>
  <c r="L26" i="2"/>
  <c r="O26" i="2"/>
  <c r="P26" i="2"/>
  <c r="AB26" i="2" s="1"/>
  <c r="F27" i="2"/>
  <c r="I27" i="2"/>
  <c r="L27" i="2"/>
  <c r="O27" i="2"/>
  <c r="P27" i="2"/>
  <c r="AB27" i="2" s="1"/>
  <c r="F28" i="2"/>
  <c r="I28" i="2"/>
  <c r="L28" i="2"/>
  <c r="O28" i="2"/>
  <c r="P28" i="2"/>
  <c r="AB28" i="2" s="1"/>
  <c r="F29" i="2"/>
  <c r="I29" i="2"/>
  <c r="L29" i="2"/>
  <c r="O29" i="2"/>
  <c r="P29" i="2"/>
  <c r="AB29" i="2" s="1"/>
  <c r="F30" i="2"/>
  <c r="I30" i="2"/>
  <c r="L30" i="2"/>
  <c r="O30" i="2"/>
  <c r="P30" i="2"/>
  <c r="AB30" i="2" s="1"/>
  <c r="F31" i="2"/>
  <c r="I31" i="2"/>
  <c r="L31" i="2"/>
  <c r="O31" i="2"/>
  <c r="P31" i="2"/>
  <c r="AB31" i="2" s="1"/>
  <c r="F32" i="2"/>
  <c r="I32" i="2"/>
  <c r="L32" i="2"/>
  <c r="O32" i="2"/>
  <c r="P32" i="2"/>
  <c r="AB32" i="2" s="1"/>
  <c r="F33" i="2"/>
  <c r="I33" i="2"/>
  <c r="L33" i="2"/>
  <c r="O33" i="2"/>
  <c r="P33" i="2"/>
  <c r="AB33" i="2" s="1"/>
  <c r="F34" i="2"/>
  <c r="I34" i="2"/>
  <c r="L34" i="2"/>
  <c r="O34" i="2"/>
  <c r="P34" i="2"/>
  <c r="AB34" i="2" s="1"/>
  <c r="F35" i="2"/>
  <c r="I35" i="2"/>
  <c r="L35" i="2"/>
  <c r="O35" i="2"/>
  <c r="P35" i="2"/>
  <c r="AB35" i="2" s="1"/>
  <c r="F36" i="2"/>
  <c r="I36" i="2"/>
  <c r="L36" i="2"/>
  <c r="O36" i="2"/>
  <c r="P36" i="2"/>
  <c r="AB36" i="2" s="1"/>
  <c r="F38" i="2"/>
  <c r="I38" i="2"/>
  <c r="L38" i="2"/>
  <c r="O38" i="2"/>
  <c r="P38" i="2"/>
  <c r="AB38" i="2" s="1"/>
  <c r="F39" i="2"/>
  <c r="I39" i="2"/>
  <c r="L39" i="2"/>
  <c r="O39" i="2"/>
  <c r="P39" i="2"/>
  <c r="AB39" i="2" s="1"/>
  <c r="F40" i="2"/>
  <c r="I40" i="2"/>
  <c r="L40" i="2"/>
  <c r="O40" i="2"/>
  <c r="P40" i="2"/>
  <c r="AB40" i="2" s="1"/>
  <c r="F41" i="2"/>
  <c r="I41" i="2"/>
  <c r="L41" i="2"/>
  <c r="O41" i="2"/>
  <c r="P41" i="2"/>
  <c r="AB41" i="2" s="1"/>
  <c r="F42" i="2"/>
  <c r="I42" i="2"/>
  <c r="L42" i="2"/>
  <c r="O42" i="2"/>
  <c r="P42" i="2"/>
  <c r="AB42" i="2" s="1"/>
  <c r="F43" i="2"/>
  <c r="I43" i="2"/>
  <c r="L43" i="2"/>
  <c r="O43" i="2"/>
  <c r="P43" i="2"/>
  <c r="AB43" i="2" s="1"/>
  <c r="F44" i="2"/>
  <c r="I44" i="2"/>
  <c r="L44" i="2"/>
  <c r="O44" i="2"/>
  <c r="P44" i="2"/>
  <c r="AB44" i="2" s="1"/>
  <c r="F45" i="2"/>
  <c r="I45" i="2"/>
  <c r="L45" i="2"/>
  <c r="O45" i="2"/>
  <c r="P45" i="2"/>
  <c r="AB45" i="2" s="1"/>
  <c r="F46" i="2"/>
  <c r="I46" i="2"/>
  <c r="L46" i="2"/>
  <c r="O46" i="2"/>
  <c r="P46" i="2"/>
  <c r="AB46" i="2" s="1"/>
  <c r="F47" i="2"/>
  <c r="I47" i="2"/>
  <c r="L47" i="2"/>
  <c r="O47" i="2"/>
  <c r="P47" i="2"/>
  <c r="AB47" i="2" s="1"/>
  <c r="F48" i="2"/>
  <c r="I48" i="2"/>
  <c r="L48" i="2"/>
  <c r="O48" i="2"/>
  <c r="P48" i="2"/>
  <c r="AB48" i="2" s="1"/>
  <c r="F49" i="2"/>
  <c r="I49" i="2"/>
  <c r="L49" i="2"/>
  <c r="O49" i="2"/>
  <c r="P49" i="2"/>
  <c r="AB49" i="2" s="1"/>
  <c r="F50" i="2"/>
  <c r="I50" i="2"/>
  <c r="L50" i="2"/>
  <c r="O50" i="2"/>
  <c r="P50" i="2"/>
  <c r="AB50" i="2" s="1"/>
  <c r="F51" i="2"/>
  <c r="I51" i="2"/>
  <c r="L51" i="2"/>
  <c r="O51" i="2"/>
  <c r="P51" i="2"/>
  <c r="AB51" i="2" s="1"/>
  <c r="F52" i="2"/>
  <c r="I52" i="2"/>
  <c r="L52" i="2"/>
  <c r="O52" i="2"/>
  <c r="P52" i="2"/>
  <c r="AB52" i="2" s="1"/>
  <c r="F53" i="2"/>
  <c r="I53" i="2"/>
  <c r="L53" i="2"/>
  <c r="O53" i="2"/>
  <c r="P53" i="2"/>
  <c r="AB53" i="2" s="1"/>
  <c r="F54" i="2"/>
  <c r="I54" i="2"/>
  <c r="L54" i="2"/>
  <c r="O54" i="2"/>
  <c r="P54" i="2"/>
  <c r="AB54" i="2" s="1"/>
  <c r="F55" i="2"/>
  <c r="I55" i="2"/>
  <c r="L55" i="2"/>
  <c r="O55" i="2"/>
  <c r="P55" i="2"/>
  <c r="AB55" i="2" s="1"/>
  <c r="F56" i="2"/>
  <c r="I56" i="2"/>
  <c r="L56" i="2"/>
  <c r="O56" i="2"/>
  <c r="P56" i="2"/>
  <c r="AB56" i="2" s="1"/>
  <c r="F57" i="2"/>
  <c r="I57" i="2"/>
  <c r="L57" i="2"/>
  <c r="O57" i="2"/>
  <c r="P57" i="2"/>
  <c r="AB57" i="2" s="1"/>
  <c r="F59" i="2"/>
  <c r="I59" i="2"/>
  <c r="L59" i="2"/>
  <c r="O59" i="2"/>
  <c r="P59" i="2"/>
  <c r="AB59" i="2" s="1"/>
  <c r="J60" i="2"/>
  <c r="F61" i="2"/>
  <c r="I61" i="2"/>
  <c r="L61" i="2"/>
  <c r="O61" i="2"/>
  <c r="P61" i="2"/>
  <c r="AB61" i="2" s="1"/>
  <c r="F62" i="2"/>
  <c r="I62" i="2"/>
  <c r="L62" i="2"/>
  <c r="O62" i="2"/>
  <c r="O60" i="2" s="1"/>
  <c r="P62" i="2"/>
  <c r="F63" i="2"/>
  <c r="I63" i="2"/>
  <c r="L63" i="2"/>
  <c r="O63" i="2"/>
  <c r="P63" i="2"/>
  <c r="AB63" i="2" s="1"/>
  <c r="F64" i="2"/>
  <c r="I64" i="2"/>
  <c r="L64" i="2"/>
  <c r="O64" i="2"/>
  <c r="P64" i="2"/>
  <c r="AB64" i="2" s="1"/>
  <c r="F65" i="2"/>
  <c r="I65" i="2"/>
  <c r="L65" i="2"/>
  <c r="O65" i="2"/>
  <c r="P65" i="2"/>
  <c r="AB65" i="2" s="1"/>
  <c r="F67" i="2"/>
  <c r="I67" i="2"/>
  <c r="L67" i="2"/>
  <c r="O67" i="2"/>
  <c r="P67" i="2"/>
  <c r="AB67" i="2" s="1"/>
  <c r="F68" i="2"/>
  <c r="I68" i="2"/>
  <c r="L68" i="2"/>
  <c r="O68" i="2"/>
  <c r="P68" i="2"/>
  <c r="AB68" i="2" s="1"/>
  <c r="F69" i="2"/>
  <c r="I69" i="2"/>
  <c r="L69" i="2"/>
  <c r="O69" i="2"/>
  <c r="P69" i="2"/>
  <c r="AB69" i="2" s="1"/>
  <c r="D70" i="2"/>
  <c r="G70" i="2"/>
  <c r="J70" i="2"/>
  <c r="M70" i="2"/>
  <c r="F71" i="2"/>
  <c r="I71" i="2"/>
  <c r="L71" i="2"/>
  <c r="P71" i="2"/>
  <c r="AB71" i="2" s="1"/>
  <c r="F72" i="2"/>
  <c r="I72" i="2"/>
  <c r="L72" i="2"/>
  <c r="O72" i="2"/>
  <c r="P72" i="2"/>
  <c r="AB72" i="2" s="1"/>
  <c r="F73" i="2"/>
  <c r="I73" i="2"/>
  <c r="L73" i="2"/>
  <c r="O73" i="2"/>
  <c r="P73" i="2"/>
  <c r="AB73" i="2" s="1"/>
  <c r="F17" i="7"/>
  <c r="I17" i="7"/>
  <c r="L17" i="7"/>
  <c r="O17" i="7"/>
  <c r="R17" i="7"/>
  <c r="U17" i="7"/>
  <c r="AA17" i="7"/>
  <c r="AD17" i="7"/>
  <c r="AG17" i="7"/>
  <c r="AJ17" i="7"/>
  <c r="AM17" i="7"/>
  <c r="AN17" i="7"/>
  <c r="AS17" i="7" s="1"/>
  <c r="I18" i="7"/>
  <c r="L18" i="7"/>
  <c r="O18" i="7"/>
  <c r="R18" i="7"/>
  <c r="U18" i="7"/>
  <c r="X18" i="7"/>
  <c r="AA18" i="7"/>
  <c r="AD18" i="7"/>
  <c r="AG18" i="7"/>
  <c r="AJ18" i="7"/>
  <c r="AM18" i="7"/>
  <c r="AS18" i="7"/>
  <c r="F20" i="7"/>
  <c r="I20" i="7"/>
  <c r="L20" i="7"/>
  <c r="O20" i="7"/>
  <c r="R20" i="7"/>
  <c r="U20" i="7"/>
  <c r="X20" i="7"/>
  <c r="AA20" i="7"/>
  <c r="AD20" i="7"/>
  <c r="AG20" i="7"/>
  <c r="AJ20" i="7"/>
  <c r="AM20" i="7"/>
  <c r="AS20" i="7"/>
  <c r="F21" i="7"/>
  <c r="I21" i="7"/>
  <c r="L21" i="7"/>
  <c r="O21" i="7"/>
  <c r="R21" i="7"/>
  <c r="U21" i="7"/>
  <c r="X21" i="7"/>
  <c r="AA21" i="7"/>
  <c r="AD21" i="7"/>
  <c r="AG21" i="7"/>
  <c r="AJ21" i="7"/>
  <c r="AM21" i="7"/>
  <c r="AS21" i="7"/>
  <c r="F22" i="7"/>
  <c r="I22" i="7"/>
  <c r="L22" i="7"/>
  <c r="O22" i="7"/>
  <c r="R22" i="7"/>
  <c r="U22" i="7"/>
  <c r="X22" i="7"/>
  <c r="AA22" i="7"/>
  <c r="AD22" i="7"/>
  <c r="AG22" i="7"/>
  <c r="AJ22" i="7"/>
  <c r="AM22" i="7"/>
  <c r="AS22" i="7"/>
  <c r="F23" i="7"/>
  <c r="I23" i="7"/>
  <c r="L23" i="7"/>
  <c r="O23" i="7"/>
  <c r="R23" i="7"/>
  <c r="U23" i="7"/>
  <c r="X23" i="7"/>
  <c r="AA23" i="7"/>
  <c r="AD23" i="7"/>
  <c r="AG23" i="7"/>
  <c r="AJ23" i="7"/>
  <c r="AM23" i="7"/>
  <c r="AS23" i="7"/>
  <c r="F24" i="7"/>
  <c r="I24" i="7"/>
  <c r="L24" i="7"/>
  <c r="O24" i="7"/>
  <c r="R24" i="7"/>
  <c r="U24" i="7"/>
  <c r="X24" i="7"/>
  <c r="AA24" i="7"/>
  <c r="AD24" i="7"/>
  <c r="AG24" i="7"/>
  <c r="AJ24" i="7"/>
  <c r="AM24" i="7"/>
  <c r="AS24" i="7"/>
  <c r="AS25" i="7"/>
  <c r="F26" i="7"/>
  <c r="I26" i="7"/>
  <c r="L26" i="7"/>
  <c r="O26" i="7"/>
  <c r="R26" i="7"/>
  <c r="U26" i="7"/>
  <c r="X26" i="7"/>
  <c r="AA26" i="7"/>
  <c r="AD26" i="7"/>
  <c r="AG26" i="7"/>
  <c r="AJ26" i="7"/>
  <c r="AM26" i="7"/>
  <c r="AS26" i="7"/>
  <c r="F27" i="7"/>
  <c r="I27" i="7"/>
  <c r="L27" i="7"/>
  <c r="O27" i="7"/>
  <c r="R27" i="7"/>
  <c r="U27" i="7"/>
  <c r="X27" i="7"/>
  <c r="AA27" i="7"/>
  <c r="AD27" i="7"/>
  <c r="AG27" i="7"/>
  <c r="AJ27" i="7"/>
  <c r="AM27" i="7"/>
  <c r="AS27" i="7"/>
  <c r="F28" i="7"/>
  <c r="I28" i="7"/>
  <c r="L28" i="7"/>
  <c r="O28" i="7"/>
  <c r="R28" i="7"/>
  <c r="U28" i="7"/>
  <c r="X28" i="7"/>
  <c r="AA28" i="7"/>
  <c r="AD28" i="7"/>
  <c r="AG28" i="7"/>
  <c r="AJ28" i="7"/>
  <c r="AM28" i="7"/>
  <c r="AS28" i="7"/>
  <c r="F29" i="7"/>
  <c r="I29" i="7"/>
  <c r="L29" i="7"/>
  <c r="O29" i="7"/>
  <c r="R29" i="7"/>
  <c r="U29" i="7"/>
  <c r="X29" i="7"/>
  <c r="AA29" i="7"/>
  <c r="AD29" i="7"/>
  <c r="AG29" i="7"/>
  <c r="AJ29" i="7"/>
  <c r="AM29" i="7"/>
  <c r="AS29" i="7"/>
  <c r="F30" i="7"/>
  <c r="I30" i="7"/>
  <c r="L30" i="7"/>
  <c r="O30" i="7"/>
  <c r="R30" i="7"/>
  <c r="U30" i="7"/>
  <c r="X30" i="7"/>
  <c r="AA30" i="7"/>
  <c r="AD30" i="7"/>
  <c r="AG30" i="7"/>
  <c r="AJ30" i="7"/>
  <c r="AM30" i="7"/>
  <c r="AS30" i="7"/>
  <c r="F31" i="7"/>
  <c r="I31" i="7"/>
  <c r="L31" i="7"/>
  <c r="O31" i="7"/>
  <c r="R31" i="7"/>
  <c r="U31" i="7"/>
  <c r="X31" i="7"/>
  <c r="AA31" i="7"/>
  <c r="AD31" i="7"/>
  <c r="AG31" i="7"/>
  <c r="AJ31" i="7"/>
  <c r="AM31" i="7"/>
  <c r="AS31" i="7"/>
  <c r="F32" i="7"/>
  <c r="I32" i="7"/>
  <c r="L32" i="7"/>
  <c r="O32" i="7"/>
  <c r="R32" i="7"/>
  <c r="U32" i="7"/>
  <c r="X32" i="7"/>
  <c r="AA32" i="7"/>
  <c r="AD32" i="7"/>
  <c r="AG32" i="7"/>
  <c r="AJ32" i="7"/>
  <c r="AM32" i="7"/>
  <c r="AS32" i="7"/>
  <c r="AS33" i="7"/>
  <c r="F34" i="7"/>
  <c r="I34" i="7"/>
  <c r="L34" i="7"/>
  <c r="O34" i="7"/>
  <c r="R34" i="7"/>
  <c r="U34" i="7"/>
  <c r="X34" i="7"/>
  <c r="AA34" i="7"/>
  <c r="AD34" i="7"/>
  <c r="AG34" i="7"/>
  <c r="AJ34" i="7"/>
  <c r="AM34" i="7"/>
  <c r="AS34" i="7"/>
  <c r="F35" i="7"/>
  <c r="F19" i="7" s="1"/>
  <c r="F102" i="7" s="1"/>
  <c r="I35" i="7"/>
  <c r="I19" i="7" s="1"/>
  <c r="I102" i="7" s="1"/>
  <c r="L35" i="7"/>
  <c r="L19" i="7" s="1"/>
  <c r="L102" i="7" s="1"/>
  <c r="O35" i="7"/>
  <c r="O19" i="7" s="1"/>
  <c r="O102" i="7" s="1"/>
  <c r="R35" i="7"/>
  <c r="R19" i="7" s="1"/>
  <c r="R102" i="7" s="1"/>
  <c r="U35" i="7"/>
  <c r="X35" i="7"/>
  <c r="AA35" i="7"/>
  <c r="AD35" i="7"/>
  <c r="AG35" i="7"/>
  <c r="AJ35" i="7"/>
  <c r="AM35" i="7"/>
  <c r="AS35" i="7"/>
  <c r="F36" i="7"/>
  <c r="I36" i="7"/>
  <c r="L36" i="7"/>
  <c r="O36" i="7"/>
  <c r="R36" i="7"/>
  <c r="U36" i="7"/>
  <c r="X36" i="7"/>
  <c r="AA36" i="7"/>
  <c r="AD36" i="7"/>
  <c r="AG36" i="7"/>
  <c r="AJ36" i="7"/>
  <c r="AM36" i="7"/>
  <c r="AS36" i="7"/>
  <c r="F37" i="7"/>
  <c r="I37" i="7"/>
  <c r="L37" i="7"/>
  <c r="O37" i="7"/>
  <c r="R37" i="7"/>
  <c r="U37" i="7"/>
  <c r="X37" i="7"/>
  <c r="AA37" i="7"/>
  <c r="AD37" i="7"/>
  <c r="AG37" i="7"/>
  <c r="AJ37" i="7"/>
  <c r="AM37" i="7"/>
  <c r="AS37" i="7"/>
  <c r="F38" i="7"/>
  <c r="I38" i="7"/>
  <c r="L38" i="7"/>
  <c r="O38" i="7"/>
  <c r="R38" i="7"/>
  <c r="U38" i="7"/>
  <c r="X38" i="7"/>
  <c r="AA38" i="7"/>
  <c r="AD38" i="7"/>
  <c r="AG38" i="7"/>
  <c r="AJ38" i="7"/>
  <c r="AM38" i="7"/>
  <c r="AS38" i="7"/>
  <c r="F39" i="7"/>
  <c r="I39" i="7"/>
  <c r="L39" i="7"/>
  <c r="O39" i="7"/>
  <c r="R39" i="7"/>
  <c r="U39" i="7"/>
  <c r="X39" i="7"/>
  <c r="AA39" i="7"/>
  <c r="AD39" i="7"/>
  <c r="AG39" i="7"/>
  <c r="AJ39" i="7"/>
  <c r="AM39" i="7"/>
  <c r="AS39" i="7"/>
  <c r="F40" i="7"/>
  <c r="I40" i="7"/>
  <c r="L40" i="7"/>
  <c r="O40" i="7"/>
  <c r="R40" i="7"/>
  <c r="U40" i="7"/>
  <c r="X40" i="7"/>
  <c r="AA40" i="7"/>
  <c r="AD40" i="7"/>
  <c r="AG40" i="7"/>
  <c r="AJ40" i="7"/>
  <c r="AM40" i="7"/>
  <c r="AS40" i="7"/>
  <c r="F41" i="7"/>
  <c r="I41" i="7"/>
  <c r="L41" i="7"/>
  <c r="O41" i="7"/>
  <c r="R41" i="7"/>
  <c r="U41" i="7"/>
  <c r="X41" i="7"/>
  <c r="AA41" i="7"/>
  <c r="AD41" i="7"/>
  <c r="AG41" i="7"/>
  <c r="AJ41" i="7"/>
  <c r="AM41" i="7"/>
  <c r="AS41" i="7"/>
  <c r="F42" i="7"/>
  <c r="I42" i="7"/>
  <c r="L42" i="7"/>
  <c r="O42" i="7"/>
  <c r="R42" i="7"/>
  <c r="U42" i="7"/>
  <c r="X42" i="7"/>
  <c r="AA42" i="7"/>
  <c r="AD42" i="7"/>
  <c r="AG42" i="7"/>
  <c r="AJ42" i="7"/>
  <c r="AM42" i="7"/>
  <c r="AS42" i="7"/>
  <c r="F43" i="7"/>
  <c r="I43" i="7"/>
  <c r="L43" i="7"/>
  <c r="O43" i="7"/>
  <c r="R43" i="7"/>
  <c r="U43" i="7"/>
  <c r="X43" i="7"/>
  <c r="AA43" i="7"/>
  <c r="AD43" i="7"/>
  <c r="AG43" i="7"/>
  <c r="AJ43" i="7"/>
  <c r="AM43" i="7"/>
  <c r="AS43" i="7"/>
  <c r="F44" i="7"/>
  <c r="I44" i="7"/>
  <c r="L44" i="7"/>
  <c r="O44" i="7"/>
  <c r="R44" i="7"/>
  <c r="U44" i="7"/>
  <c r="X44" i="7"/>
  <c r="AA44" i="7"/>
  <c r="AD44" i="7"/>
  <c r="AG44" i="7"/>
  <c r="AJ44" i="7"/>
  <c r="AM44" i="7"/>
  <c r="AS44" i="7"/>
  <c r="F45" i="7"/>
  <c r="I45" i="7"/>
  <c r="L45" i="7"/>
  <c r="O45" i="7"/>
  <c r="R45" i="7"/>
  <c r="U45" i="7"/>
  <c r="X45" i="7"/>
  <c r="AA45" i="7"/>
  <c r="AD45" i="7"/>
  <c r="AG45" i="7"/>
  <c r="AJ45" i="7"/>
  <c r="AM45" i="7"/>
  <c r="AS45" i="7"/>
  <c r="F46" i="7"/>
  <c r="I46" i="7"/>
  <c r="L46" i="7"/>
  <c r="O46" i="7"/>
  <c r="R46" i="7"/>
  <c r="U46" i="7"/>
  <c r="X46" i="7"/>
  <c r="AA46" i="7"/>
  <c r="AD46" i="7"/>
  <c r="AG46" i="7"/>
  <c r="AJ46" i="7"/>
  <c r="AM46" i="7"/>
  <c r="AS46" i="7"/>
  <c r="F47" i="7"/>
  <c r="I47" i="7"/>
  <c r="L47" i="7"/>
  <c r="O47" i="7"/>
  <c r="R47" i="7"/>
  <c r="U47" i="7"/>
  <c r="X47" i="7"/>
  <c r="AA47" i="7"/>
  <c r="AD47" i="7"/>
  <c r="AG47" i="7"/>
  <c r="AJ47" i="7"/>
  <c r="AM47" i="7"/>
  <c r="AS47" i="7"/>
  <c r="F48" i="7"/>
  <c r="I48" i="7"/>
  <c r="L48" i="7"/>
  <c r="O48" i="7"/>
  <c r="R48" i="7"/>
  <c r="U48" i="7"/>
  <c r="X48" i="7"/>
  <c r="AA48" i="7"/>
  <c r="AD48" i="7"/>
  <c r="AG48" i="7"/>
  <c r="AJ48" i="7"/>
  <c r="AM48" i="7"/>
  <c r="AS48" i="7"/>
  <c r="F49" i="7"/>
  <c r="I49" i="7"/>
  <c r="L49" i="7"/>
  <c r="O49" i="7"/>
  <c r="R49" i="7"/>
  <c r="U49" i="7"/>
  <c r="X49" i="7"/>
  <c r="AA49" i="7"/>
  <c r="AD49" i="7"/>
  <c r="AG49" i="7"/>
  <c r="AJ49" i="7"/>
  <c r="AM49" i="7"/>
  <c r="AS49" i="7"/>
  <c r="F50" i="7"/>
  <c r="I50" i="7"/>
  <c r="L50" i="7"/>
  <c r="O50" i="7"/>
  <c r="R50" i="7"/>
  <c r="U50" i="7"/>
  <c r="X50" i="7"/>
  <c r="AA50" i="7"/>
  <c r="AD50" i="7"/>
  <c r="AG50" i="7"/>
  <c r="AJ50" i="7"/>
  <c r="AM50" i="7"/>
  <c r="AS50" i="7"/>
  <c r="F52" i="7"/>
  <c r="I52" i="7"/>
  <c r="L52" i="7"/>
  <c r="O52" i="7"/>
  <c r="R52" i="7"/>
  <c r="U52" i="7"/>
  <c r="X52" i="7"/>
  <c r="AA52" i="7"/>
  <c r="AD52" i="7"/>
  <c r="AG52" i="7"/>
  <c r="AJ52" i="7"/>
  <c r="AM52" i="7"/>
  <c r="AS52" i="7"/>
  <c r="AS53" i="7"/>
  <c r="F54" i="7"/>
  <c r="I54" i="7"/>
  <c r="L54" i="7"/>
  <c r="O54" i="7"/>
  <c r="R54" i="7"/>
  <c r="U54" i="7"/>
  <c r="X54" i="7"/>
  <c r="AA54" i="7"/>
  <c r="AD54" i="7"/>
  <c r="AG54" i="7"/>
  <c r="AJ54" i="7"/>
  <c r="AM54" i="7"/>
  <c r="AS54" i="7"/>
  <c r="F55" i="7"/>
  <c r="I55" i="7"/>
  <c r="L55" i="7"/>
  <c r="O55" i="7"/>
  <c r="R55" i="7"/>
  <c r="U55" i="7"/>
  <c r="X55" i="7"/>
  <c r="AA55" i="7"/>
  <c r="AD55" i="7"/>
  <c r="AG55" i="7"/>
  <c r="AJ55" i="7"/>
  <c r="AM55" i="7"/>
  <c r="AS55" i="7"/>
  <c r="F56" i="7"/>
  <c r="I56" i="7"/>
  <c r="L56" i="7"/>
  <c r="O56" i="7"/>
  <c r="R56" i="7"/>
  <c r="U56" i="7"/>
  <c r="X56" i="7"/>
  <c r="AA56" i="7"/>
  <c r="AD56" i="7"/>
  <c r="AG56" i="7"/>
  <c r="AJ56" i="7"/>
  <c r="AM56" i="7"/>
  <c r="AS56" i="7"/>
  <c r="F57" i="7"/>
  <c r="I57" i="7"/>
  <c r="L57" i="7"/>
  <c r="O57" i="7"/>
  <c r="R57" i="7"/>
  <c r="U57" i="7"/>
  <c r="X57" i="7"/>
  <c r="AA57" i="7"/>
  <c r="AD57" i="7"/>
  <c r="AG57" i="7"/>
  <c r="AJ57" i="7"/>
  <c r="AM57" i="7"/>
  <c r="AS57" i="7"/>
  <c r="F58" i="7"/>
  <c r="I58" i="7"/>
  <c r="L58" i="7"/>
  <c r="O58" i="7"/>
  <c r="R58" i="7"/>
  <c r="U58" i="7"/>
  <c r="X58" i="7"/>
  <c r="AA58" i="7"/>
  <c r="AD58" i="7"/>
  <c r="AG58" i="7"/>
  <c r="AJ58" i="7"/>
  <c r="AM58" i="7"/>
  <c r="AS58" i="7"/>
  <c r="F59" i="7"/>
  <c r="I59" i="7"/>
  <c r="L59" i="7"/>
  <c r="O59" i="7"/>
  <c r="R59" i="7"/>
  <c r="U59" i="7"/>
  <c r="X59" i="7"/>
  <c r="AA59" i="7"/>
  <c r="AD59" i="7"/>
  <c r="AG59" i="7"/>
  <c r="AJ59" i="7"/>
  <c r="AM59" i="7"/>
  <c r="AS59" i="7"/>
  <c r="F60" i="7"/>
  <c r="I60" i="7"/>
  <c r="L60" i="7"/>
  <c r="O60" i="7"/>
  <c r="R60" i="7"/>
  <c r="U60" i="7"/>
  <c r="X60" i="7"/>
  <c r="AA60" i="7"/>
  <c r="AD60" i="7"/>
  <c r="AG60" i="7"/>
  <c r="AJ60" i="7"/>
  <c r="AM60" i="7"/>
  <c r="AS60" i="7"/>
  <c r="F61" i="7"/>
  <c r="I61" i="7"/>
  <c r="L61" i="7"/>
  <c r="O61" i="7"/>
  <c r="R61" i="7"/>
  <c r="U61" i="7"/>
  <c r="X61" i="7"/>
  <c r="AA61" i="7"/>
  <c r="AD61" i="7"/>
  <c r="AG61" i="7"/>
  <c r="AJ61" i="7"/>
  <c r="AM61" i="7"/>
  <c r="AS61" i="7"/>
  <c r="F62" i="7"/>
  <c r="I62" i="7"/>
  <c r="L62" i="7"/>
  <c r="O62" i="7"/>
  <c r="R62" i="7"/>
  <c r="U62" i="7"/>
  <c r="X62" i="7"/>
  <c r="AA62" i="7"/>
  <c r="AD62" i="7"/>
  <c r="AG62" i="7"/>
  <c r="AJ62" i="7"/>
  <c r="AM62" i="7"/>
  <c r="AS62" i="7"/>
  <c r="F63" i="7"/>
  <c r="I63" i="7"/>
  <c r="L63" i="7"/>
  <c r="O63" i="7"/>
  <c r="R63" i="7"/>
  <c r="U63" i="7"/>
  <c r="X63" i="7"/>
  <c r="AA63" i="7"/>
  <c r="AD63" i="7"/>
  <c r="AG63" i="7"/>
  <c r="AJ63" i="7"/>
  <c r="AM63" i="7"/>
  <c r="AS63" i="7"/>
  <c r="F64" i="7"/>
  <c r="I64" i="7"/>
  <c r="L64" i="7"/>
  <c r="O64" i="7"/>
  <c r="R64" i="7"/>
  <c r="U64" i="7"/>
  <c r="X64" i="7"/>
  <c r="AA64" i="7"/>
  <c r="AD64" i="7"/>
  <c r="AG64" i="7"/>
  <c r="AJ64" i="7"/>
  <c r="AM64" i="7"/>
  <c r="AS64" i="7"/>
  <c r="F65" i="7"/>
  <c r="I65" i="7"/>
  <c r="L65" i="7"/>
  <c r="O65" i="7"/>
  <c r="R65" i="7"/>
  <c r="U65" i="7"/>
  <c r="X65" i="7"/>
  <c r="AA65" i="7"/>
  <c r="AD65" i="7"/>
  <c r="AG65" i="7"/>
  <c r="AJ65" i="7"/>
  <c r="AM65" i="7"/>
  <c r="AS65" i="7"/>
  <c r="F66" i="7"/>
  <c r="I66" i="7"/>
  <c r="L66" i="7"/>
  <c r="O66" i="7"/>
  <c r="R66" i="7"/>
  <c r="U66" i="7"/>
  <c r="X66" i="7"/>
  <c r="AA66" i="7"/>
  <c r="AD66" i="7"/>
  <c r="AG66" i="7"/>
  <c r="AJ66" i="7"/>
  <c r="AM66" i="7"/>
  <c r="AS66" i="7"/>
  <c r="F67" i="7"/>
  <c r="I67" i="7"/>
  <c r="L67" i="7"/>
  <c r="O67" i="7"/>
  <c r="R67" i="7"/>
  <c r="U67" i="7"/>
  <c r="X67" i="7"/>
  <c r="AA67" i="7"/>
  <c r="AD67" i="7"/>
  <c r="AG67" i="7"/>
  <c r="AJ67" i="7"/>
  <c r="AM67" i="7"/>
  <c r="AS67" i="7"/>
  <c r="F68" i="7"/>
  <c r="I68" i="7"/>
  <c r="L68" i="7"/>
  <c r="O68" i="7"/>
  <c r="R68" i="7"/>
  <c r="U68" i="7"/>
  <c r="AA68" i="7"/>
  <c r="AD68" i="7"/>
  <c r="AG68" i="7"/>
  <c r="AJ68" i="7"/>
  <c r="AM68" i="7"/>
  <c r="AS68" i="7"/>
  <c r="F69" i="7"/>
  <c r="I69" i="7"/>
  <c r="L69" i="7"/>
  <c r="O69" i="7"/>
  <c r="R69" i="7"/>
  <c r="U69" i="7"/>
  <c r="X69" i="7"/>
  <c r="AA69" i="7"/>
  <c r="AD69" i="7"/>
  <c r="AG69" i="7"/>
  <c r="AJ69" i="7"/>
  <c r="AM69" i="7"/>
  <c r="AS69" i="7"/>
  <c r="F70" i="7"/>
  <c r="I70" i="7"/>
  <c r="L70" i="7"/>
  <c r="O70" i="7"/>
  <c r="R70" i="7"/>
  <c r="U70" i="7"/>
  <c r="AA70" i="7"/>
  <c r="AD70" i="7"/>
  <c r="AG70" i="7"/>
  <c r="AJ70" i="7"/>
  <c r="AM70" i="7"/>
  <c r="AS70" i="7"/>
  <c r="F71" i="7"/>
  <c r="I71" i="7"/>
  <c r="L71" i="7"/>
  <c r="O71" i="7"/>
  <c r="R71" i="7"/>
  <c r="U71" i="7"/>
  <c r="X71" i="7"/>
  <c r="AA71" i="7"/>
  <c r="AD71" i="7"/>
  <c r="AG71" i="7"/>
  <c r="AJ71" i="7"/>
  <c r="AM71" i="7"/>
  <c r="AS71" i="7"/>
  <c r="F72" i="7"/>
  <c r="I72" i="7"/>
  <c r="L72" i="7"/>
  <c r="O72" i="7"/>
  <c r="R72" i="7"/>
  <c r="U72" i="7"/>
  <c r="X72" i="7"/>
  <c r="AA72" i="7"/>
  <c r="AD72" i="7"/>
  <c r="AG72" i="7"/>
  <c r="AJ72" i="7"/>
  <c r="AM72" i="7"/>
  <c r="AS72" i="7"/>
  <c r="F73" i="7"/>
  <c r="I73" i="7"/>
  <c r="L73" i="7"/>
  <c r="O73" i="7"/>
  <c r="R73" i="7"/>
  <c r="U73" i="7"/>
  <c r="X73" i="7"/>
  <c r="AA73" i="7"/>
  <c r="AD73" i="7"/>
  <c r="AG73" i="7"/>
  <c r="AJ73" i="7"/>
  <c r="AM73" i="7"/>
  <c r="AS73" i="7"/>
  <c r="F74" i="7"/>
  <c r="I74" i="7"/>
  <c r="L74" i="7"/>
  <c r="O74" i="7"/>
  <c r="R74" i="7"/>
  <c r="U74" i="7"/>
  <c r="X74" i="7"/>
  <c r="AA74" i="7"/>
  <c r="AD74" i="7"/>
  <c r="AG74" i="7"/>
  <c r="AJ74" i="7"/>
  <c r="AM74" i="7"/>
  <c r="AS74" i="7"/>
  <c r="F76" i="7"/>
  <c r="I76" i="7"/>
  <c r="L76" i="7"/>
  <c r="O76" i="7"/>
  <c r="R76" i="7"/>
  <c r="U76" i="7"/>
  <c r="X76" i="7"/>
  <c r="AA76" i="7"/>
  <c r="AD76" i="7"/>
  <c r="AG76" i="7"/>
  <c r="AJ76" i="7"/>
  <c r="AM76" i="7"/>
  <c r="AS76" i="7"/>
  <c r="F77" i="7"/>
  <c r="I77" i="7"/>
  <c r="L77" i="7"/>
  <c r="O77" i="7"/>
  <c r="R77" i="7"/>
  <c r="U77" i="7"/>
  <c r="X77" i="7"/>
  <c r="AA77" i="7"/>
  <c r="AD77" i="7"/>
  <c r="AG77" i="7"/>
  <c r="AJ77" i="7"/>
  <c r="AM77" i="7"/>
  <c r="AS77" i="7"/>
  <c r="F78" i="7"/>
  <c r="I78" i="7"/>
  <c r="L78" i="7"/>
  <c r="O78" i="7"/>
  <c r="R78" i="7"/>
  <c r="U78" i="7"/>
  <c r="X78" i="7"/>
  <c r="AA78" i="7"/>
  <c r="AD78" i="7"/>
  <c r="AG78" i="7"/>
  <c r="AJ78" i="7"/>
  <c r="AM78" i="7"/>
  <c r="AS78" i="7"/>
  <c r="F79" i="7"/>
  <c r="I79" i="7"/>
  <c r="L79" i="7"/>
  <c r="O79" i="7"/>
  <c r="R79" i="7"/>
  <c r="U79" i="7"/>
  <c r="X79" i="7"/>
  <c r="AA79" i="7"/>
  <c r="AD79" i="7"/>
  <c r="AG79" i="7"/>
  <c r="AJ79" i="7"/>
  <c r="AM79" i="7"/>
  <c r="AS79" i="7"/>
  <c r="F80" i="7"/>
  <c r="I80" i="7"/>
  <c r="L80" i="7"/>
  <c r="O80" i="7"/>
  <c r="R80" i="7"/>
  <c r="U80" i="7"/>
  <c r="X80" i="7"/>
  <c r="AA80" i="7"/>
  <c r="AD80" i="7"/>
  <c r="AG80" i="7"/>
  <c r="AJ80" i="7"/>
  <c r="AM80" i="7"/>
  <c r="AS80" i="7"/>
  <c r="F81" i="7"/>
  <c r="I81" i="7"/>
  <c r="L81" i="7"/>
  <c r="O81" i="7"/>
  <c r="R81" i="7"/>
  <c r="U81" i="7"/>
  <c r="X81" i="7"/>
  <c r="AA81" i="7"/>
  <c r="AD81" i="7"/>
  <c r="AG81" i="7"/>
  <c r="AJ81" i="7"/>
  <c r="AM81" i="7"/>
  <c r="AS81" i="7"/>
  <c r="F82" i="7"/>
  <c r="I82" i="7"/>
  <c r="L82" i="7"/>
  <c r="O82" i="7"/>
  <c r="R82" i="7"/>
  <c r="U82" i="7"/>
  <c r="X82" i="7"/>
  <c r="AA82" i="7"/>
  <c r="AD82" i="7"/>
  <c r="AG82" i="7"/>
  <c r="AJ82" i="7"/>
  <c r="AM82" i="7"/>
  <c r="AS82" i="7"/>
  <c r="F83" i="7"/>
  <c r="I83" i="7"/>
  <c r="L83" i="7"/>
  <c r="O83" i="7"/>
  <c r="R83" i="7"/>
  <c r="U83" i="7"/>
  <c r="X83" i="7"/>
  <c r="AA83" i="7"/>
  <c r="AD83" i="7"/>
  <c r="AG83" i="7"/>
  <c r="AJ83" i="7"/>
  <c r="AM83" i="7"/>
  <c r="AS83" i="7"/>
  <c r="F84" i="7"/>
  <c r="I84" i="7"/>
  <c r="L84" i="7"/>
  <c r="O84" i="7"/>
  <c r="R84" i="7"/>
  <c r="U84" i="7"/>
  <c r="X84" i="7"/>
  <c r="AA84" i="7"/>
  <c r="AD84" i="7"/>
  <c r="AG84" i="7"/>
  <c r="AJ84" i="7"/>
  <c r="AM84" i="7"/>
  <c r="AS84" i="7"/>
  <c r="AS87" i="7"/>
  <c r="AS88" i="7"/>
  <c r="AS89" i="7"/>
  <c r="AS90" i="7"/>
  <c r="AS91" i="7"/>
  <c r="AS93" i="7"/>
  <c r="AS94" i="7"/>
  <c r="AS95" i="7"/>
  <c r="AS97" i="7"/>
  <c r="AS98" i="7"/>
  <c r="AS99" i="7"/>
  <c r="AS100" i="7"/>
  <c r="AS101" i="7"/>
  <c r="AB62" i="2" l="1"/>
  <c r="P60" i="2"/>
  <c r="I275" i="8"/>
  <c r="S275" i="8"/>
  <c r="N275" i="8"/>
  <c r="T202" i="8"/>
  <c r="W202" i="8" s="1"/>
  <c r="T68" i="8"/>
  <c r="W68" i="8" s="1"/>
  <c r="O68" i="8"/>
  <c r="R68" i="8" s="1"/>
  <c r="Z68" i="8" s="1"/>
  <c r="S24" i="8"/>
  <c r="I24" i="8"/>
  <c r="D275" i="8"/>
  <c r="N24" i="8"/>
  <c r="D24" i="8"/>
  <c r="AM19" i="7"/>
  <c r="AM102" i="7" s="1"/>
  <c r="AJ19" i="7"/>
  <c r="AJ102" i="7" s="1"/>
  <c r="AG19" i="7"/>
  <c r="AG102" i="7" s="1"/>
  <c r="AD19" i="7"/>
  <c r="AD102" i="7" s="1"/>
  <c r="AA19" i="7"/>
  <c r="AA102" i="7" s="1"/>
  <c r="X19" i="7"/>
  <c r="X102" i="7" s="1"/>
  <c r="U19" i="7"/>
  <c r="U102" i="7" s="1"/>
  <c r="E24" i="8"/>
  <c r="E277" i="8" s="1"/>
  <c r="E23" i="8"/>
  <c r="E276" i="8" s="1"/>
  <c r="H28" i="8"/>
  <c r="E25" i="8"/>
  <c r="E278" i="8" s="1"/>
  <c r="R40" i="8"/>
  <c r="O22" i="8"/>
  <c r="O275" i="8" s="1"/>
  <c r="R28" i="8"/>
  <c r="M40" i="8"/>
  <c r="J24" i="8"/>
  <c r="J277" i="8" s="1"/>
  <c r="W40" i="8"/>
  <c r="H40" i="8"/>
  <c r="E22" i="8"/>
  <c r="E275" i="8" s="1"/>
  <c r="M23" i="8"/>
  <c r="J23" i="8"/>
  <c r="M28" i="8"/>
  <c r="J25" i="8"/>
  <c r="J278" i="8" s="1"/>
  <c r="T41" i="8"/>
  <c r="W41" i="8" s="1"/>
  <c r="T105" i="8"/>
  <c r="W105" i="8" s="1"/>
  <c r="O105" i="8"/>
  <c r="R105" i="8" s="1"/>
  <c r="AO23" i="7"/>
  <c r="AO22" i="7"/>
  <c r="AO21" i="7"/>
  <c r="AO20" i="7"/>
  <c r="AO18" i="7"/>
  <c r="P70" i="2"/>
  <c r="AB70" i="2" s="1"/>
  <c r="O185" i="8"/>
  <c r="R185" i="8" s="1"/>
  <c r="T148" i="8"/>
  <c r="W148" i="8" s="1"/>
  <c r="O255" i="8"/>
  <c r="R255" i="8" s="1"/>
  <c r="T229" i="8"/>
  <c r="W229" i="8" s="1"/>
  <c r="O160" i="8"/>
  <c r="R160" i="8" s="1"/>
  <c r="O140" i="8"/>
  <c r="R140" i="8" s="1"/>
  <c r="O77" i="8"/>
  <c r="R77" i="8" s="1"/>
  <c r="Z77" i="8" s="1"/>
  <c r="T145" i="8"/>
  <c r="W145" i="8" s="1"/>
  <c r="O74" i="8"/>
  <c r="R74" i="8" s="1"/>
  <c r="T226" i="8"/>
  <c r="W226" i="8" s="1"/>
  <c r="T206" i="8"/>
  <c r="W206" i="8" s="1"/>
  <c r="T212" i="8"/>
  <c r="W212" i="8" s="1"/>
  <c r="O108" i="8"/>
  <c r="R108" i="8" s="1"/>
  <c r="T177" i="8"/>
  <c r="W177" i="8" s="1"/>
  <c r="O97" i="8"/>
  <c r="R97" i="8" s="1"/>
  <c r="T51" i="8"/>
  <c r="W51" i="8" s="1"/>
  <c r="T151" i="8"/>
  <c r="W151" i="8" s="1"/>
  <c r="J110" i="8"/>
  <c r="J22" i="8" s="1"/>
  <c r="J275" i="8" s="1"/>
  <c r="X91" i="8"/>
  <c r="J74" i="2"/>
  <c r="W139" i="8"/>
  <c r="H91" i="8"/>
  <c r="H32" i="8"/>
  <c r="R65" i="8"/>
  <c r="R32" i="8"/>
  <c r="S115" i="8"/>
  <c r="I115" i="8"/>
  <c r="X257" i="8"/>
  <c r="W180" i="8"/>
  <c r="M32" i="8"/>
  <c r="W240" i="8"/>
  <c r="W235" i="8" s="1"/>
  <c r="M240" i="8"/>
  <c r="M235" i="8" s="1"/>
  <c r="H240" i="8"/>
  <c r="H235" i="8" s="1"/>
  <c r="M232" i="8"/>
  <c r="R111" i="8"/>
  <c r="H111" i="8"/>
  <c r="R87" i="8"/>
  <c r="M87" i="8"/>
  <c r="H87" i="8"/>
  <c r="H71" i="8"/>
  <c r="W65" i="8"/>
  <c r="P11" i="2"/>
  <c r="AB11" i="2" s="1"/>
  <c r="D102" i="7"/>
  <c r="AO84" i="7"/>
  <c r="T255" i="8"/>
  <c r="W255" i="8" s="1"/>
  <c r="O229" i="8"/>
  <c r="R229" i="8" s="1"/>
  <c r="Z229" i="8" s="1"/>
  <c r="O226" i="8"/>
  <c r="R226" i="8" s="1"/>
  <c r="Z226" i="8" s="1"/>
  <c r="O212" i="8"/>
  <c r="R212" i="8" s="1"/>
  <c r="O206" i="8"/>
  <c r="R206" i="8" s="1"/>
  <c r="T185" i="8"/>
  <c r="W185" i="8" s="1"/>
  <c r="Z185" i="8" s="1"/>
  <c r="T160" i="8"/>
  <c r="W160" i="8" s="1"/>
  <c r="O151" i="8"/>
  <c r="R151" i="8" s="1"/>
  <c r="O148" i="8"/>
  <c r="R148" i="8" s="1"/>
  <c r="O145" i="8"/>
  <c r="R145" i="8" s="1"/>
  <c r="Z145" i="8" s="1"/>
  <c r="T140" i="8"/>
  <c r="W140" i="8" s="1"/>
  <c r="T97" i="8"/>
  <c r="W97" i="8" s="1"/>
  <c r="Z86" i="8"/>
  <c r="T74" i="8"/>
  <c r="W74" i="8" s="1"/>
  <c r="O51" i="8"/>
  <c r="R51" i="8" s="1"/>
  <c r="T44" i="8"/>
  <c r="W44" i="8" s="1"/>
  <c r="T28" i="8"/>
  <c r="Z246" i="8"/>
  <c r="Z244" i="8"/>
  <c r="W271" i="8"/>
  <c r="R271" i="8"/>
  <c r="M271" i="8"/>
  <c r="W262" i="8"/>
  <c r="M262" i="8"/>
  <c r="H262" i="8"/>
  <c r="Z184" i="8"/>
  <c r="Z162" i="8"/>
  <c r="Z83" i="8"/>
  <c r="Z60" i="8"/>
  <c r="Z30" i="8"/>
  <c r="Z239" i="8"/>
  <c r="Z189" i="8"/>
  <c r="Z179" i="8"/>
  <c r="Z85" i="8"/>
  <c r="W223" i="8"/>
  <c r="M223" i="8"/>
  <c r="H223" i="8"/>
  <c r="Z222" i="8"/>
  <c r="M180" i="8"/>
  <c r="H180" i="8"/>
  <c r="W174" i="8"/>
  <c r="R174" i="8"/>
  <c r="M174" i="8"/>
  <c r="W163" i="8"/>
  <c r="M163" i="8"/>
  <c r="H163" i="8"/>
  <c r="R157" i="8"/>
  <c r="M157" i="8"/>
  <c r="H157" i="8"/>
  <c r="R118" i="8"/>
  <c r="R114" i="8" s="1"/>
  <c r="M118" i="8"/>
  <c r="M114" i="8" s="1"/>
  <c r="H118" i="8"/>
  <c r="H114" i="8" s="1"/>
  <c r="X113" i="8"/>
  <c r="X87" i="8"/>
  <c r="R71" i="8"/>
  <c r="M71" i="8"/>
  <c r="X71" i="8"/>
  <c r="R61" i="8"/>
  <c r="H61" i="8"/>
  <c r="O41" i="8"/>
  <c r="R41" i="8" s="1"/>
  <c r="O38" i="8"/>
  <c r="R38" i="8" s="1"/>
  <c r="Z38" i="8" s="1"/>
  <c r="R35" i="8"/>
  <c r="X32" i="8"/>
  <c r="W18" i="8"/>
  <c r="Z159" i="8"/>
  <c r="X157" i="8"/>
  <c r="Z142" i="8"/>
  <c r="Z93" i="8"/>
  <c r="T209" i="8"/>
  <c r="W209" i="8" s="1"/>
  <c r="T203" i="8"/>
  <c r="W203" i="8" s="1"/>
  <c r="O177" i="8"/>
  <c r="R177" i="8" s="1"/>
  <c r="O44" i="8"/>
  <c r="R44" i="8" s="1"/>
  <c r="O209" i="8"/>
  <c r="R209" i="8" s="1"/>
  <c r="O203" i="8"/>
  <c r="R203" i="8" s="1"/>
  <c r="T108" i="8"/>
  <c r="W108" i="8" s="1"/>
  <c r="W35" i="8"/>
  <c r="H58" i="8"/>
  <c r="AO80" i="7"/>
  <c r="AO76" i="7"/>
  <c r="AO72" i="7"/>
  <c r="AO64" i="7"/>
  <c r="AO60" i="7"/>
  <c r="AO56" i="7"/>
  <c r="AO52" i="7"/>
  <c r="AO48" i="7"/>
  <c r="AO44" i="7"/>
  <c r="AO40" i="7"/>
  <c r="AO36" i="7"/>
  <c r="AO32" i="7"/>
  <c r="AO28" i="7"/>
  <c r="AO24" i="7"/>
  <c r="Z199" i="8"/>
  <c r="Z182" i="8"/>
  <c r="Z79" i="8"/>
  <c r="Z176" i="8"/>
  <c r="Z261" i="8"/>
  <c r="Z237" i="8"/>
  <c r="Z187" i="8"/>
  <c r="Z147" i="8"/>
  <c r="Z219" i="8"/>
  <c r="Z242" i="8"/>
  <c r="Z205" i="8"/>
  <c r="AO83" i="7"/>
  <c r="AO78" i="7"/>
  <c r="AO74" i="7"/>
  <c r="AO66" i="7"/>
  <c r="AO62" i="7"/>
  <c r="AO58" i="7"/>
  <c r="AO54" i="7"/>
  <c r="AO50" i="7"/>
  <c r="AO46" i="7"/>
  <c r="AO42" i="7"/>
  <c r="AO38" i="7"/>
  <c r="AO34" i="7"/>
  <c r="AO30" i="7"/>
  <c r="AO26" i="7"/>
  <c r="Q73" i="2"/>
  <c r="L70" i="2"/>
  <c r="AB60" i="2"/>
  <c r="D74" i="2"/>
  <c r="Q10" i="2"/>
  <c r="D258" i="8"/>
  <c r="X271" i="8"/>
  <c r="Z211" i="8"/>
  <c r="Z89" i="8"/>
  <c r="Z34" i="8"/>
  <c r="Z17" i="8"/>
  <c r="O54" i="8"/>
  <c r="R54" i="8" s="1"/>
  <c r="T81" i="8"/>
  <c r="W81" i="8" s="1"/>
  <c r="Z81" i="8" s="1"/>
  <c r="O94" i="8"/>
  <c r="R94" i="8" s="1"/>
  <c r="O121" i="8"/>
  <c r="R121" i="8" s="1"/>
  <c r="R115" i="8" s="1"/>
  <c r="O133" i="8"/>
  <c r="R133" i="8" s="1"/>
  <c r="T154" i="8"/>
  <c r="W154" i="8" s="1"/>
  <c r="O170" i="8"/>
  <c r="R170" i="8" s="1"/>
  <c r="O190" i="8"/>
  <c r="R190" i="8" s="1"/>
  <c r="T94" i="8"/>
  <c r="W94" i="8" s="1"/>
  <c r="T121" i="8"/>
  <c r="W121" i="8" s="1"/>
  <c r="W115" i="8" s="1"/>
  <c r="T133" i="8"/>
  <c r="W133" i="8" s="1"/>
  <c r="T170" i="8"/>
  <c r="W170" i="8" s="1"/>
  <c r="O195" i="8"/>
  <c r="R195" i="8" s="1"/>
  <c r="T47" i="8"/>
  <c r="W47" i="8" s="1"/>
  <c r="O100" i="8"/>
  <c r="R100" i="8" s="1"/>
  <c r="O47" i="8"/>
  <c r="R47" i="8" s="1"/>
  <c r="O217" i="8"/>
  <c r="R217" i="8" s="1"/>
  <c r="T217" i="8"/>
  <c r="W217" i="8" s="1"/>
  <c r="O220" i="8"/>
  <c r="R220" i="8" s="1"/>
  <c r="T220" i="8"/>
  <c r="W220" i="8" s="1"/>
  <c r="O202" i="8"/>
  <c r="R202" i="8" s="1"/>
  <c r="Z202" i="8" s="1"/>
  <c r="AO81" i="7"/>
  <c r="AO77" i="7"/>
  <c r="AO73" i="7"/>
  <c r="AO69" i="7"/>
  <c r="AO65" i="7"/>
  <c r="AO61" i="7"/>
  <c r="AO57" i="7"/>
  <c r="AO49" i="7"/>
  <c r="AO45" i="7"/>
  <c r="AO41" i="7"/>
  <c r="AO37" i="7"/>
  <c r="AO29" i="7"/>
  <c r="T195" i="8"/>
  <c r="W195" i="8" s="1"/>
  <c r="T190" i="8"/>
  <c r="W190" i="8" s="1"/>
  <c r="O154" i="8"/>
  <c r="R154" i="8" s="1"/>
  <c r="X139" i="8"/>
  <c r="O136" i="8"/>
  <c r="R136" i="8" s="1"/>
  <c r="Z136" i="8" s="1"/>
  <c r="X114" i="8"/>
  <c r="X118" i="8"/>
  <c r="W113" i="8"/>
  <c r="M113" i="8"/>
  <c r="T100" i="8"/>
  <c r="W100" i="8" s="1"/>
  <c r="Z56" i="8"/>
  <c r="T54" i="8"/>
  <c r="W54" i="8" s="1"/>
  <c r="AO82" i="7"/>
  <c r="AO79" i="7"/>
  <c r="AO71" i="7"/>
  <c r="AO67" i="7"/>
  <c r="AO63" i="7"/>
  <c r="AO59" i="7"/>
  <c r="AO55" i="7"/>
  <c r="AO47" i="7"/>
  <c r="AO43" i="7"/>
  <c r="AO39" i="7"/>
  <c r="AO35" i="7"/>
  <c r="AO31" i="7"/>
  <c r="AO27" i="7"/>
  <c r="O70" i="2"/>
  <c r="I70" i="2"/>
  <c r="G74" i="2"/>
  <c r="S258" i="8"/>
  <c r="X262" i="8"/>
  <c r="I258" i="8"/>
  <c r="W232" i="8"/>
  <c r="R232" i="8"/>
  <c r="X232" i="8"/>
  <c r="Z216" i="8"/>
  <c r="Z197" i="8"/>
  <c r="X174" i="8"/>
  <c r="Z153" i="8"/>
  <c r="Z138" i="8"/>
  <c r="Z135" i="8"/>
  <c r="Z120" i="8"/>
  <c r="X65" i="8"/>
  <c r="X35" i="8"/>
  <c r="X18" i="8"/>
  <c r="R180" i="8"/>
  <c r="M139" i="8"/>
  <c r="H139" i="8"/>
  <c r="H121" i="8"/>
  <c r="H115" i="8" s="1"/>
  <c r="R113" i="8"/>
  <c r="R22" i="8" s="1"/>
  <c r="W111" i="8"/>
  <c r="X111" i="8"/>
  <c r="R91" i="8"/>
  <c r="M91" i="8"/>
  <c r="W71" i="8"/>
  <c r="H65" i="8"/>
  <c r="W61" i="8"/>
  <c r="X61" i="8"/>
  <c r="H35" i="8"/>
  <c r="M18" i="8"/>
  <c r="H18" i="8"/>
  <c r="R58" i="8"/>
  <c r="M58" i="8"/>
  <c r="X23" i="8"/>
  <c r="O11" i="2"/>
  <c r="I11" i="2"/>
  <c r="F70" i="2"/>
  <c r="Q72" i="2"/>
  <c r="Q61" i="2"/>
  <c r="Q71" i="2"/>
  <c r="Q69" i="2"/>
  <c r="Q68" i="2"/>
  <c r="Q67" i="2"/>
  <c r="Q65" i="2"/>
  <c r="Q64" i="2"/>
  <c r="Q63" i="2"/>
  <c r="Q62" i="2"/>
  <c r="Q60" i="2" s="1"/>
  <c r="L60" i="2"/>
  <c r="Q59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L11" i="2"/>
  <c r="M74" i="2"/>
  <c r="Z268" i="8"/>
  <c r="Z264" i="8"/>
  <c r="W257" i="8"/>
  <c r="R257" i="8"/>
  <c r="M257" i="8"/>
  <c r="H257" i="8"/>
  <c r="Q20" i="2"/>
  <c r="Q19" i="2"/>
  <c r="Q18" i="2"/>
  <c r="Q17" i="2"/>
  <c r="Q16" i="2"/>
  <c r="Q15" i="2"/>
  <c r="Q14" i="2"/>
  <c r="Q13" i="2"/>
  <c r="Q12" i="2"/>
  <c r="F11" i="2"/>
  <c r="Z270" i="8"/>
  <c r="Z265" i="8"/>
  <c r="H113" i="8"/>
  <c r="Z117" i="8"/>
  <c r="N258" i="8"/>
  <c r="W234" i="8"/>
  <c r="R234" i="8"/>
  <c r="M234" i="8"/>
  <c r="H234" i="8"/>
  <c r="X223" i="8"/>
  <c r="Z214" i="8"/>
  <c r="Z192" i="8"/>
  <c r="X180" i="8"/>
  <c r="Z172" i="8"/>
  <c r="Z169" i="8"/>
  <c r="Z165" i="8"/>
  <c r="Z156" i="8"/>
  <c r="Z130" i="8"/>
  <c r="Z123" i="8"/>
  <c r="Z73" i="8"/>
  <c r="Z70" i="8"/>
  <c r="Z37" i="8"/>
  <c r="Z27" i="8"/>
  <c r="D25" i="8"/>
  <c r="H271" i="8"/>
  <c r="R262" i="8"/>
  <c r="X240" i="8"/>
  <c r="N235" i="8"/>
  <c r="X235" i="8" s="1"/>
  <c r="X234" i="8"/>
  <c r="Z231" i="8"/>
  <c r="Z228" i="8"/>
  <c r="Z225" i="8"/>
  <c r="Z208" i="8"/>
  <c r="Z201" i="8"/>
  <c r="Z194" i="8"/>
  <c r="Z167" i="8"/>
  <c r="X163" i="8"/>
  <c r="Z150" i="8"/>
  <c r="Z132" i="8"/>
  <c r="Z125" i="8"/>
  <c r="X22" i="8"/>
  <c r="Z63" i="8"/>
  <c r="Z53" i="8"/>
  <c r="Z20" i="8"/>
  <c r="R240" i="8"/>
  <c r="R235" i="8" s="1"/>
  <c r="H232" i="8"/>
  <c r="R223" i="8"/>
  <c r="H174" i="8"/>
  <c r="R163" i="8"/>
  <c r="W157" i="8"/>
  <c r="R139" i="8"/>
  <c r="X121" i="8"/>
  <c r="M121" i="8"/>
  <c r="M115" i="8" s="1"/>
  <c r="W118" i="8"/>
  <c r="W114" i="8" s="1"/>
  <c r="M111" i="8"/>
  <c r="W91" i="8"/>
  <c r="W87" i="8"/>
  <c r="M65" i="8"/>
  <c r="M61" i="8"/>
  <c r="W58" i="8"/>
  <c r="M35" i="8"/>
  <c r="W32" i="8"/>
  <c r="R18" i="8"/>
  <c r="Z107" i="8"/>
  <c r="Z76" i="8"/>
  <c r="Z49" i="8"/>
  <c r="Z46" i="8"/>
  <c r="Z43" i="8"/>
  <c r="Z127" i="8"/>
  <c r="Z102" i="8"/>
  <c r="Z99" i="8"/>
  <c r="Z96" i="8"/>
  <c r="X275" i="8" l="1"/>
  <c r="Z57" i="8"/>
  <c r="E274" i="8"/>
  <c r="I277" i="8"/>
  <c r="S277" i="8"/>
  <c r="Z41" i="8"/>
  <c r="Z140" i="8"/>
  <c r="Z255" i="8"/>
  <c r="N277" i="8"/>
  <c r="N274" i="8" s="1"/>
  <c r="J274" i="8"/>
  <c r="O74" i="2"/>
  <c r="R275" i="8"/>
  <c r="I25" i="8"/>
  <c r="I278" i="8" s="1"/>
  <c r="I274" i="8" s="1"/>
  <c r="S25" i="8"/>
  <c r="S278" i="8" s="1"/>
  <c r="Z148" i="8"/>
  <c r="Z212" i="8"/>
  <c r="Z97" i="8"/>
  <c r="Z160" i="8"/>
  <c r="Z173" i="8"/>
  <c r="H22" i="8"/>
  <c r="H275" i="8" s="1"/>
  <c r="W22" i="8"/>
  <c r="W275" i="8" s="1"/>
  <c r="Z40" i="8"/>
  <c r="R24" i="8"/>
  <c r="Z105" i="8"/>
  <c r="M25" i="8"/>
  <c r="M278" i="8" s="1"/>
  <c r="T24" i="8"/>
  <c r="T277" i="8" s="1"/>
  <c r="O25" i="8"/>
  <c r="O278" i="8" s="1"/>
  <c r="W28" i="8"/>
  <c r="T25" i="8"/>
  <c r="T278" i="8" s="1"/>
  <c r="H24" i="8"/>
  <c r="R23" i="8"/>
  <c r="O23" i="8"/>
  <c r="T22" i="8"/>
  <c r="T275" i="8" s="1"/>
  <c r="R25" i="8"/>
  <c r="R278" i="8" s="1"/>
  <c r="W24" i="8"/>
  <c r="Z143" i="8"/>
  <c r="M24" i="8"/>
  <c r="W23" i="8"/>
  <c r="W276" i="8" s="1"/>
  <c r="Z276" i="8" s="1"/>
  <c r="T23" i="8"/>
  <c r="H25" i="8"/>
  <c r="H278" i="8" s="1"/>
  <c r="O24" i="8"/>
  <c r="O277" i="8" s="1"/>
  <c r="AN102" i="7"/>
  <c r="M110" i="8"/>
  <c r="M22" i="8" s="1"/>
  <c r="M275" i="8" s="1"/>
  <c r="Z74" i="8"/>
  <c r="Z108" i="8"/>
  <c r="Z206" i="8"/>
  <c r="Z177" i="8"/>
  <c r="Z151" i="8"/>
  <c r="Z51" i="8"/>
  <c r="W258" i="8"/>
  <c r="Z90" i="8"/>
  <c r="M258" i="8"/>
  <c r="Z54" i="8"/>
  <c r="Z44" i="8"/>
  <c r="Z209" i="8"/>
  <c r="Z203" i="8"/>
  <c r="Z157" i="8"/>
  <c r="Z80" i="8"/>
  <c r="Z65" i="8"/>
  <c r="Z87" i="8"/>
  <c r="Z100" i="8"/>
  <c r="Z94" i="8"/>
  <c r="Z71" i="8"/>
  <c r="Z50" i="8"/>
  <c r="Z154" i="8"/>
  <c r="Z91" i="8"/>
  <c r="Z180" i="8"/>
  <c r="R258" i="8"/>
  <c r="Z32" i="8"/>
  <c r="X115" i="8"/>
  <c r="X258" i="8"/>
  <c r="Z174" i="8"/>
  <c r="Z163" i="8"/>
  <c r="Z223" i="8"/>
  <c r="Z111" i="8"/>
  <c r="L74" i="2"/>
  <c r="P74" i="2"/>
  <c r="AB74" i="2" s="1"/>
  <c r="Z271" i="8"/>
  <c r="Z118" i="8"/>
  <c r="Z190" i="8"/>
  <c r="Z195" i="8"/>
  <c r="Z133" i="8"/>
  <c r="Z232" i="8"/>
  <c r="Z234" i="8"/>
  <c r="Z257" i="8"/>
  <c r="Z35" i="8"/>
  <c r="Z61" i="8"/>
  <c r="Z114" i="8"/>
  <c r="Z240" i="8"/>
  <c r="H258" i="8"/>
  <c r="Z58" i="8"/>
  <c r="Z139" i="8"/>
  <c r="Z170" i="8"/>
  <c r="Z115" i="8"/>
  <c r="Q70" i="2"/>
  <c r="Z47" i="8"/>
  <c r="Z121" i="8"/>
  <c r="Z262" i="8"/>
  <c r="Z18" i="8"/>
  <c r="Z113" i="8"/>
  <c r="I74" i="2"/>
  <c r="Z220" i="8"/>
  <c r="Z217" i="8"/>
  <c r="D278" i="8"/>
  <c r="Z235" i="8"/>
  <c r="Q11" i="2"/>
  <c r="F74" i="2"/>
  <c r="Z275" i="8" l="1"/>
  <c r="X25" i="8"/>
  <c r="X278" i="8"/>
  <c r="O274" i="8"/>
  <c r="M277" i="8"/>
  <c r="M274" i="8" s="1"/>
  <c r="S274" i="8"/>
  <c r="T274" i="8"/>
  <c r="W277" i="8"/>
  <c r="R277" i="8"/>
  <c r="H277" i="8"/>
  <c r="H274" i="8" s="1"/>
  <c r="Q74" i="2"/>
  <c r="Z31" i="8"/>
  <c r="Z28" i="8"/>
  <c r="W25" i="8"/>
  <c r="X24" i="8"/>
  <c r="D277" i="8"/>
  <c r="Z110" i="8"/>
  <c r="Z258" i="8"/>
  <c r="Z23" i="8"/>
  <c r="Z24" i="8"/>
  <c r="R274" i="8" l="1"/>
  <c r="Z277" i="8"/>
  <c r="W278" i="8"/>
  <c r="X277" i="8"/>
  <c r="X274" i="8" s="1"/>
  <c r="D274" i="8"/>
  <c r="Z25" i="8"/>
  <c r="Z22" i="8"/>
  <c r="X17" i="7"/>
  <c r="W274" i="8" l="1"/>
  <c r="Z278" i="8"/>
  <c r="Z274" i="8" s="1"/>
  <c r="AO17" i="7"/>
  <c r="X68" i="7"/>
  <c r="AO68" i="7" s="1"/>
  <c r="X70" i="7"/>
  <c r="AO19" i="7" l="1"/>
  <c r="AO102" i="7" s="1"/>
  <c r="AO70" i="7"/>
</calcChain>
</file>

<file path=xl/sharedStrings.xml><?xml version="1.0" encoding="utf-8"?>
<sst xmlns="http://schemas.openxmlformats.org/spreadsheetml/2006/main" count="1296" uniqueCount="401">
  <si>
    <t xml:space="preserve">постановлением администрации </t>
  </si>
  <si>
    <t>муниципального образования</t>
  </si>
  <si>
    <t xml:space="preserve"> Каневской район </t>
  </si>
  <si>
    <t>Наименование учреждений, организаций</t>
  </si>
  <si>
    <t>Поставщик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</si>
  <si>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</si>
  <si>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</si>
  <si>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</si>
  <si>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</si>
  <si>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</si>
  <si>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</si>
  <si>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</si>
  <si>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</si>
  <si>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</si>
  <si>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</si>
  <si>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</si>
  <si>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</si>
  <si>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тыс. квт.ч.</t>
  </si>
  <si>
    <t>тыс. руб.</t>
  </si>
  <si>
    <t>МАУ "Каневской РДК"</t>
  </si>
  <si>
    <t>ВСЕГО:</t>
  </si>
  <si>
    <t>Наименование учреждения, организации</t>
  </si>
  <si>
    <t>Наименование поставщика</t>
  </si>
  <si>
    <t>I квартал</t>
  </si>
  <si>
    <t>II квартал</t>
  </si>
  <si>
    <t>III квартал</t>
  </si>
  <si>
    <t>VI квартал</t>
  </si>
  <si>
    <t>Гкал</t>
  </si>
  <si>
    <t>Тариф, руб. с НДС</t>
  </si>
  <si>
    <t>МУП "Каневские тепловые сети"</t>
  </si>
  <si>
    <t xml:space="preserve"> - горячее водоснабжение</t>
  </si>
  <si>
    <t>ОАО "Россия"</t>
  </si>
  <si>
    <t xml:space="preserve"> -  горячее водоснабжение</t>
  </si>
  <si>
    <t>ВСЕГО, в т.ч.:</t>
  </si>
  <si>
    <t>тыс.м3</t>
  </si>
  <si>
    <t>тариф руб/тыс.м3 с НДС</t>
  </si>
  <si>
    <t xml:space="preserve"> тыс. руб.</t>
  </si>
  <si>
    <t>куб. м.</t>
  </si>
  <si>
    <t>ОАО "Водопровод"</t>
  </si>
  <si>
    <t>ОАО "ОСК"</t>
  </si>
  <si>
    <t xml:space="preserve"> - водоснабжение</t>
  </si>
  <si>
    <t>ОАО ЖКУ</t>
  </si>
  <si>
    <t xml:space="preserve"> </t>
  </si>
  <si>
    <t xml:space="preserve"> - водоотведение</t>
  </si>
  <si>
    <t>ОАО ОСК</t>
  </si>
  <si>
    <t>ЗАО консер.предп."Русское поле"</t>
  </si>
  <si>
    <t>ОАО "ЖКУ"</t>
  </si>
  <si>
    <t xml:space="preserve"> - водоотведение </t>
  </si>
  <si>
    <t>УТВЕРЖДЕНЫ</t>
  </si>
  <si>
    <t>ЛИМИТЫ</t>
  </si>
  <si>
    <t>МАУ Киновидеоцентр "Космос"</t>
  </si>
  <si>
    <t>Управление образования администрации муниципального образования Каневской район</t>
  </si>
  <si>
    <t>МКУ " ЦБ УО"</t>
  </si>
  <si>
    <t>ООО "Новодеревянковский водозабор"</t>
  </si>
  <si>
    <t xml:space="preserve">МБУ РИМЦ </t>
  </si>
  <si>
    <t>МКУ Каневского района "Спасатель"</t>
  </si>
  <si>
    <t>ОФКС администрации муниципального образования Каневский район</t>
  </si>
  <si>
    <t>Отдел культуры администрации муниципального образования Каневской район</t>
  </si>
  <si>
    <t>МБУ "Стадион"</t>
  </si>
  <si>
    <t>ОФКС администрации муниципального образования Каневской район</t>
  </si>
  <si>
    <t>МКУ МО Каневской район "Служба обеспечения"</t>
  </si>
  <si>
    <t>ООО "Газпром межрегионгаз Краснодар"</t>
  </si>
  <si>
    <t>Отдел по делам молодежи администрации Каневского района МБУ Каневского района ЦКСОМ "Победа"</t>
  </si>
  <si>
    <t>Отдел по делам молодежи администрации Каневского района "МБУ Каневского района ЦКСОМ "Победа"</t>
  </si>
  <si>
    <t xml:space="preserve"> - холодное водоснабжение</t>
  </si>
  <si>
    <t xml:space="preserve"> потребления электрической энергии для учреждений, финансируемых из бюджета муниципального образования</t>
  </si>
  <si>
    <t>МУП Привольненского сельского поселения "Благоустройство"</t>
  </si>
  <si>
    <t>МУП Новоминского сельского поселения "Благоустройство"</t>
  </si>
  <si>
    <t xml:space="preserve">ОАО ЖКУ </t>
  </si>
  <si>
    <t>предельно-минимальная</t>
  </si>
  <si>
    <t>МКУ "ЦБУО"</t>
  </si>
  <si>
    <t>Холодная вода, отведение воды</t>
  </si>
  <si>
    <t>Холодная вода</t>
  </si>
  <si>
    <t xml:space="preserve">"ПРИЛОЖЕНИЕ №1 </t>
  </si>
  <si>
    <t xml:space="preserve">"ПРИЛОЖЕНИЕ №2 </t>
  </si>
  <si>
    <t xml:space="preserve">"ПРИЛОЖЕНИЕ №4 </t>
  </si>
  <si>
    <t xml:space="preserve">ОФКС администрации муниципального образования Каневский район </t>
  </si>
  <si>
    <t>тариф, руб./кВт*ч</t>
  </si>
  <si>
    <t>ОАО "ЖКУ" водоотведение</t>
  </si>
  <si>
    <t>ОАО "ОСК" водоотведние</t>
  </si>
  <si>
    <t>ЗАО консер.предп."Русское поле" водоотведение</t>
  </si>
  <si>
    <t>ЗАО консер.предп."Русское поле" водоснабжение</t>
  </si>
  <si>
    <t>ААФПЗ "Победа" водоснабжение</t>
  </si>
  <si>
    <t>МУП Привольненского сельского поселения "Благоустройство" водоснабжение</t>
  </si>
  <si>
    <t>ООО "Новодеревянковский водозабор" водоснабжение</t>
  </si>
  <si>
    <t>МУП Новоминского сельского поселения "Благоустройство" водоснабжение</t>
  </si>
  <si>
    <t>ОАО ЖКУ водоснабжение</t>
  </si>
  <si>
    <t>ОАО "Водопровод" водоснабжение</t>
  </si>
  <si>
    <t>МУП "Каневские тепловые сети" компонент на тепло</t>
  </si>
  <si>
    <t>МУП Привольненского сельского поселения "Благоустройство" компонент на воду</t>
  </si>
  <si>
    <t>ОАО ЖКУкомпонент на воду</t>
  </si>
  <si>
    <t>ОАО "Водопровод" компонент на воду</t>
  </si>
  <si>
    <t>- водоотведение (ассенизация)</t>
  </si>
  <si>
    <t>ОАО ОСК ассенизация</t>
  </si>
  <si>
    <t>ОАО ЖКУ ассенизация</t>
  </si>
  <si>
    <t>ООО Новодеревянковский Водозабор</t>
  </si>
  <si>
    <t>МБУ ДО ДШИ ст-цы Новодеревянковской</t>
  </si>
  <si>
    <t>МБУ ДО ДШИ ст-цы Новоминской</t>
  </si>
  <si>
    <t>МБУК "МЦБ Каневского района"</t>
  </si>
  <si>
    <t>холодное водоснабжение</t>
  </si>
  <si>
    <t>МБУК историко-краеведческий музей</t>
  </si>
  <si>
    <t>МУП "Родник"</t>
  </si>
  <si>
    <t>МУП "Родник" водоснабжение</t>
  </si>
  <si>
    <t>МАДОУ детский сад № 3</t>
  </si>
  <si>
    <t>МАУ ДО ЦТ " Радуга"</t>
  </si>
  <si>
    <t>МБУ ДЗСОЛ  "Факел"</t>
  </si>
  <si>
    <t>МАУ ДО ЦТ "Радуга"</t>
  </si>
  <si>
    <t xml:space="preserve">МБУ ДО "Каневская РДШИ" </t>
  </si>
  <si>
    <t>№ п/п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</si>
  <si>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</si>
  <si>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</si>
  <si>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</si>
  <si>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</si>
  <si>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</si>
  <si>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</si>
  <si>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</si>
  <si>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</si>
  <si>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</si>
  <si>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</si>
  <si>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</si>
  <si>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</si>
  <si>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</si>
  <si>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</si>
  <si>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</si>
  <si>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</si>
  <si>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</si>
  <si>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</si>
  <si>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</si>
  <si>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</si>
  <si>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</si>
  <si>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</si>
  <si>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</si>
  <si>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</si>
  <si>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</si>
  <si>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</si>
  <si>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</si>
  <si>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</si>
  <si>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</si>
  <si>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</si>
  <si>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</si>
  <si>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</si>
  <si>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</si>
  <si>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</si>
  <si>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</si>
  <si>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</si>
  <si>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</si>
  <si>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3</t>
  </si>
  <si>
    <t>3.1</t>
  </si>
  <si>
    <t>3.2</t>
  </si>
  <si>
    <t>4</t>
  </si>
  <si>
    <t>4.1</t>
  </si>
  <si>
    <t>4.2</t>
  </si>
  <si>
    <t>4.3</t>
  </si>
  <si>
    <t>5</t>
  </si>
  <si>
    <t>2.1.1</t>
  </si>
  <si>
    <t>2.1.2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</si>
  <si>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</si>
  <si>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</si>
  <si>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</si>
  <si>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</si>
  <si>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</si>
  <si>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</si>
  <si>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</si>
  <si>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</si>
  <si>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</si>
  <si>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</si>
  <si>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</si>
  <si>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</si>
  <si>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</si>
  <si>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</si>
  <si>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</si>
  <si>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</si>
  <si>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</si>
  <si>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</si>
  <si>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</si>
  <si>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</si>
  <si>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</si>
  <si>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</si>
  <si>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</si>
  <si>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</si>
  <si>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</si>
  <si>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</si>
  <si>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</si>
  <si>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</si>
  <si>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</si>
  <si>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</si>
  <si>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</si>
  <si>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</si>
  <si>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</si>
  <si>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</si>
  <si>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</si>
  <si>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</si>
  <si>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</si>
  <si>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</si>
  <si>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</si>
  <si>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</si>
  <si>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</si>
  <si>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</si>
  <si>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</si>
  <si>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</si>
  <si>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</si>
  <si>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</si>
  <si>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</si>
  <si>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</si>
  <si>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</si>
  <si>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</si>
  <si>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</si>
  <si>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3.54</t>
  </si>
  <si>
    <t>3.55</t>
  </si>
  <si>
    <t>3.56</t>
  </si>
  <si>
    <t>3.57</t>
  </si>
  <si>
    <t>3.58</t>
  </si>
  <si>
    <t>3.59</t>
  </si>
  <si>
    <t>3.60</t>
  </si>
  <si>
    <t>3.61</t>
  </si>
  <si>
    <t>3.62</t>
  </si>
  <si>
    <t>3.63</t>
  </si>
  <si>
    <t>3.64</t>
  </si>
  <si>
    <t>3.65</t>
  </si>
  <si>
    <t>3.66</t>
  </si>
  <si>
    <t>3.67</t>
  </si>
  <si>
    <t>4.4</t>
  </si>
  <si>
    <t>4.5</t>
  </si>
  <si>
    <t>6</t>
  </si>
  <si>
    <t>7</t>
  </si>
  <si>
    <t>7.1</t>
  </si>
  <si>
    <t>7.2</t>
  </si>
  <si>
    <t>7.3</t>
  </si>
  <si>
    <t>8</t>
  </si>
  <si>
    <t>1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</si>
  <si>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</si>
  <si>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</si>
  <si>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</si>
  <si>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</si>
  <si>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</si>
  <si>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</si>
  <si>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</si>
  <si>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</si>
  <si>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</si>
  <si>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</si>
  <si>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8.1</t>
  </si>
  <si>
    <t>8.2</t>
  </si>
  <si>
    <t>8.3</t>
  </si>
  <si>
    <t>8.4</t>
  </si>
  <si>
    <t>факт</t>
  </si>
  <si>
    <t>план</t>
  </si>
  <si>
    <t>от 16.08.2018 № 1157</t>
  </si>
  <si>
    <t>8.5</t>
  </si>
  <si>
    <t>ОАО "Кубань"</t>
  </si>
  <si>
    <t xml:space="preserve">МАУ ДО "Каневская РШИ" </t>
  </si>
  <si>
    <t>4.6</t>
  </si>
  <si>
    <t>(в редакции постановления администрации муниципального образования Каневской район                  от ___________ № ________)</t>
  </si>
  <si>
    <t>замена котлов</t>
  </si>
  <si>
    <t xml:space="preserve">ИП Череватый В.В. </t>
  </si>
  <si>
    <t>ИП Череватый В.В.</t>
  </si>
  <si>
    <t>(в редакции постановления администрации муниципального образования Каневской район                         от __________ №______)</t>
  </si>
  <si>
    <t>ОСК (Привольная)</t>
  </si>
  <si>
    <t>МУП "Каневские тепловые сети" Сахарный завод</t>
  </si>
  <si>
    <t>факт 2019 года</t>
  </si>
  <si>
    <t>присоединен 28 сад</t>
  </si>
  <si>
    <t>новеое здание 56,5</t>
  </si>
  <si>
    <t>новое здание</t>
  </si>
  <si>
    <t>от ________ №______</t>
  </si>
  <si>
    <t>лимит на 2022</t>
  </si>
  <si>
    <t>с 01.01.2023</t>
  </si>
  <si>
    <t>с 01.07.2023</t>
  </si>
  <si>
    <t>к постановлению администрации муниципального образования Каневской район 
от _____________ № ______</t>
  </si>
  <si>
    <t>к постановлению администрации муниципального образования                    Каневской район 
от ___________ № _______</t>
  </si>
  <si>
    <t>ПРИЛОЖЕНИЕ 2</t>
  </si>
  <si>
    <t>ПРИЛОЖЕНИЕ 4</t>
  </si>
  <si>
    <t>МКУ "ЦОДОУ"</t>
  </si>
  <si>
    <t>2.48</t>
  </si>
  <si>
    <t>лимит на 23</t>
  </si>
  <si>
    <t>1,832</t>
  </si>
  <si>
    <t>МБУ ДЗСОЛ  "Колос"</t>
  </si>
  <si>
    <t xml:space="preserve">МАУ ДО "ДШИ муниципального образования Каневской район" </t>
  </si>
  <si>
    <t xml:space="preserve">МАУ ДО ДШИ муниципального образования Каневской район" </t>
  </si>
  <si>
    <t>МКУ  РИМЦ</t>
  </si>
  <si>
    <t>И.А. Луценко</t>
  </si>
  <si>
    <t>лимит на 2024</t>
  </si>
  <si>
    <t>ПАО "ТНС энерго Кубань"</t>
  </si>
  <si>
    <t xml:space="preserve">
Заместитель главы муниципального образования,
начальник  управления строительства 
администрации муниципального образования
Каневской муниципальный район
Краснодарского края 
</t>
  </si>
  <si>
    <t>Каневской муниципальный район Краснодарского края на 2026 год</t>
  </si>
  <si>
    <t>Суммы финансирования рассчитаны с учетом информационного письма  ПАО "ТНС энерго Кубань" Тимашевский филиал от 18.08.2025 года № Тим 07.01.02-1278</t>
  </si>
  <si>
    <t>потребления тепловой энергии для учреждений, финансируемых из бюджета муниципального образования Каневской муниципальный район Краснодарского края на 2026 год</t>
  </si>
  <si>
    <t>Суммы финансирования рассчитаны на основании приказов департамента государственного регулирования тарифов Краснодарского края "Об установлении тарифов на тепловую энергию" Приказ от 18.12.2024 № 553/2024-т</t>
  </si>
  <si>
    <t xml:space="preserve"> 
Заместитель главы муниципального образования, 
начальник управления строительства
администрации муниципального образования
Каневской муниципальный район
Краснодарского края</t>
  </si>
  <si>
    <t xml:space="preserve">И.А. Луценко </t>
  </si>
  <si>
    <t xml:space="preserve">АО "Виктория -Агро" </t>
  </si>
  <si>
    <t xml:space="preserve">МБДОУ детский сад № 14 есть </t>
  </si>
  <si>
    <t xml:space="preserve">МБДОУ детский сад № 32 нет </t>
  </si>
  <si>
    <t xml:space="preserve">МБОУ СОШ № 11 нет </t>
  </si>
  <si>
    <t xml:space="preserve">
Заместитель главы муниципального образования, 
начальник управления строительства
администрации муниципального образования
Каневской муниципальный район
Краснодарского края</t>
  </si>
  <si>
    <t>потребления природного газа для учреждений, финансируемых из бюджета муниципального образования Каневской муниципальный район Краснодарского края  на 2026 год</t>
  </si>
  <si>
    <t>2.16.1</t>
  </si>
  <si>
    <t>2.16.2</t>
  </si>
  <si>
    <t>2026 год</t>
  </si>
  <si>
    <t xml:space="preserve">              водопотребления и водоотведения для учреждений, финансируемых из бюджета муниципального образования Каневской муниципальный район Краснодарского края на 2026 год</t>
  </si>
  <si>
    <t>с 01.01.2026</t>
  </si>
  <si>
    <t>с 01.07.2026</t>
  </si>
  <si>
    <t>Суммы финансирования рассчитаны с учетом "Сценарных условий, основных параметров прогноза социально-экономического развития Российской федерации и предельных уровней цен (тарифов) на услуги компаний инфраструктурного сектора на 2024 год и на плановый период 2025 и 2026 годов" и приказов департамента государственного регулирования тарифов Краснодарского края  "Об установлении тарифов на питьевую воду, водоотведение"</t>
  </si>
  <si>
    <t xml:space="preserve"> 
Заместитель главы муниципального образования, 
начальник управления строительства администрации 
муниципального образования  Каневской муниципальный район  
Краснодарского края        </t>
  </si>
  <si>
    <t xml:space="preserve">Суммы финансирования рассчитаны с  учетом информационных писем ООО "Газпром межрегионгаз Краснодар"   О прогнозной цене на газ на плановый период 2025-2027 гг. 28.06.2024 г 25-20-09/4919 ; "О прогнозной цене на газ на плановый период 2026-2028 гг." от 14.07.2025 № 25-20-09/4913; </t>
  </si>
  <si>
    <t>МАУ СК "Юность"</t>
  </si>
  <si>
    <t xml:space="preserve">М.В. Панченко </t>
  </si>
  <si>
    <t>Заместитель начальника финансового управления 
администрации муниципального образования
Каневской муниципальный район
Краснодарского края</t>
  </si>
  <si>
    <t xml:space="preserve">Заместитель начальника финансового управления 
администрации муниципального образования 
Каневской муниципальный район  
Краснодарского края                                           
</t>
  </si>
  <si>
    <t>МАОУ СОШ № 1</t>
  </si>
  <si>
    <t>МАОУ СОШ № 2</t>
  </si>
  <si>
    <t>МАОУ СОШ № 3</t>
  </si>
  <si>
    <t>МАОУ СОШ № 4</t>
  </si>
  <si>
    <t>МАОУ СОШ № 5</t>
  </si>
  <si>
    <t>МАОУ СОШ № 6</t>
  </si>
  <si>
    <t>МАОУ Лицей</t>
  </si>
  <si>
    <t>МАОУ "Гимназия"</t>
  </si>
  <si>
    <t>МАОУ ООШ № 9</t>
  </si>
  <si>
    <t>МАОУ СОШ № 10</t>
  </si>
  <si>
    <t>МАОУ СОШ № 11</t>
  </si>
  <si>
    <t xml:space="preserve">МАОУ НОШ № 12 </t>
  </si>
  <si>
    <t>МАОУ СОШ № 13</t>
  </si>
  <si>
    <t>МАОУ СОШ № 15</t>
  </si>
  <si>
    <t>МАОУ ООШ № 16</t>
  </si>
  <si>
    <t>МАОУ ООШ № 18</t>
  </si>
  <si>
    <t>МАОУ ООШ № 19</t>
  </si>
  <si>
    <t>МАОУ ООШ № 20</t>
  </si>
  <si>
    <t>МАОУ ООШ № 21</t>
  </si>
  <si>
    <t>МАОУ СОШ № 22</t>
  </si>
  <si>
    <t>МАОУ OОШ № 25</t>
  </si>
  <si>
    <t>МАОУ СОШ № 26</t>
  </si>
  <si>
    <t>МАОУ СОШ № 32</t>
  </si>
  <si>
    <t>МАОУ ООШ № 34</t>
  </si>
  <si>
    <t>МАОУ СОШ № 35</t>
  </si>
  <si>
    <t>МАОУ ООШ № 36</t>
  </si>
  <si>
    <t>МАОУ ООШ № 41</t>
  </si>
  <si>
    <t>МАОУ СОШ № 43</t>
  </si>
  <si>
    <t>МАОУ СОШ № 44</t>
  </si>
  <si>
    <t>МАУ ДО "Каневская СШ"</t>
  </si>
  <si>
    <t>МАУ СШ "Легион"</t>
  </si>
  <si>
    <t>МАУ СК "Кубань"</t>
  </si>
  <si>
    <t>МАДОУ детский сад № 1</t>
  </si>
  <si>
    <t>МАДОУ  детский сад № 2</t>
  </si>
  <si>
    <t>МАДОУ детский сад № 4</t>
  </si>
  <si>
    <t>МАДОУ детский сад № 7</t>
  </si>
  <si>
    <t>МАДОУ детский сад № 8</t>
  </si>
  <si>
    <t>МАДОУ детский сад № 10</t>
  </si>
  <si>
    <t>МАДОУ детский сад № 11</t>
  </si>
  <si>
    <t>МАДОУ детский сад № 12</t>
  </si>
  <si>
    <t>МАДОУ детский сад № 14</t>
  </si>
  <si>
    <t>МАДОУ детский сад № 15</t>
  </si>
  <si>
    <t>МАДОУ детский сад № 16</t>
  </si>
  <si>
    <t>МАДОУ детский сад № 17</t>
  </si>
  <si>
    <t>МАДОУ детский сад № 18</t>
  </si>
  <si>
    <t>МАДОУ  детский сад № 19</t>
  </si>
  <si>
    <t>МАДОУ  детский сад № 20</t>
  </si>
  <si>
    <t>МАДОУ  детский сад № 26</t>
  </si>
  <si>
    <t>МАДОУ детский сад № 31</t>
  </si>
  <si>
    <t>МАДОУ детский сад № 32</t>
  </si>
  <si>
    <t>МАДОУ детский сад № 35</t>
  </si>
  <si>
    <t>МАДОУ детский сад № 40</t>
  </si>
  <si>
    <t>МАОУ лицей</t>
  </si>
  <si>
    <t>МАОУ НОШ № 12</t>
  </si>
  <si>
    <t>МАУ ДО ДШИ ст-цы Новоминской</t>
  </si>
  <si>
    <t>МАУ ДО  ДШИ ст-цы Челбасской</t>
  </si>
  <si>
    <t>МАУ ДО  ДШИ ст-цы Привольной</t>
  </si>
  <si>
    <t>МАУК "МЦБ Каневского района"</t>
  </si>
  <si>
    <t>МАУК историко-краеведческий музей</t>
  </si>
  <si>
    <t>МАДОУ детский сад № 1 (ст. Каневская, ул. Коммунаров, 39)</t>
  </si>
  <si>
    <t>МАДОУ детский сад № 1 (ст. Каневская, ул. Широкая,109)</t>
  </si>
  <si>
    <t>МАДОУ детский сад № 5</t>
  </si>
  <si>
    <t>МАДОУ детский сад № 6</t>
  </si>
  <si>
    <t>МАДОУ детский сад № 9</t>
  </si>
  <si>
    <t>МАДОУ детский сад № 13</t>
  </si>
  <si>
    <t>МАДОУ детский сад № 20</t>
  </si>
  <si>
    <t>МАДОУ детский сад № 21</t>
  </si>
  <si>
    <t>МАДОУ детский сад № 22</t>
  </si>
  <si>
    <t>МАДОУ детский сад № 27</t>
  </si>
  <si>
    <t>МАДОУ детский сад № 29</t>
  </si>
  <si>
    <t>МАДОУ детский сад № 34</t>
  </si>
  <si>
    <t>МАДОУ детский сад № 34 (х.Большие Челбасы, ул.Полтавская, 76а)</t>
  </si>
  <si>
    <t>МАДОУ детский сад № 34 (х.Средние Челбассы, ул. Центральная, 4)</t>
  </si>
  <si>
    <t>МАДОУ детский сад № 36</t>
  </si>
  <si>
    <t xml:space="preserve">МАУ ДО "Каневская РДШИ" </t>
  </si>
  <si>
    <t>МАУ "Стадион"</t>
  </si>
  <si>
    <t xml:space="preserve">МАДОУ ЦРР -детский сад № 11 </t>
  </si>
  <si>
    <t>МАУ "Каневская СШ"</t>
  </si>
  <si>
    <t>МАУ ДОД ДШИ ст-цы Новоминской</t>
  </si>
  <si>
    <t xml:space="preserve">МАУ РИМЦ </t>
  </si>
  <si>
    <t>МАУ " ЦБ УО"</t>
  </si>
  <si>
    <t>МАУ ДЗСОЛ  "Факел"</t>
  </si>
  <si>
    <t>МАУ МО Каневской район "Служба обеспечения"</t>
  </si>
  <si>
    <t>МАУ Каневского района "Спасатель"</t>
  </si>
  <si>
    <t>МАДОУ детский сад № 19</t>
  </si>
  <si>
    <t>МАДОУ детский сад № 25</t>
  </si>
  <si>
    <t>МАДОУ детский сад № 26</t>
  </si>
  <si>
    <t>МАДОУ ДСОВ № 32 (здание детского сада № 30)</t>
  </si>
  <si>
    <t>МАДОУ  детский сад № 33"</t>
  </si>
  <si>
    <t>МАДОУ детский сад № 39</t>
  </si>
  <si>
    <t>МАДОУ детский сад № 2</t>
  </si>
  <si>
    <t>Гкал.</t>
  </si>
  <si>
    <t>Заместитель начальника финансового управления администрации муниципального образования
Каневской муниципальный район
Краснодарского края</t>
  </si>
  <si>
    <t>М.В. Панченко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</si>
</sst>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0.000"/>
    <numFmt numFmtId="166" formatCode="#,##0.000"/>
    <numFmt numFmtId="167" formatCode="#,##0.000&quot;   &quot;"/>
    <numFmt numFmtId="168" formatCode="0.0000"/>
  </numFmts>
  <fonts count="5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9"/>
      <name val="Arial"/>
      <family val="2"/>
      <charset val="204"/>
    </font>
    <font>
      <sz val="16"/>
      <name val="Times New Roman"/>
      <family val="1"/>
      <charset val="204"/>
    </font>
    <font>
      <b/>
      <sz val="9"/>
      <name val="Arial"/>
      <family val="2"/>
      <charset val="204"/>
    </font>
    <font>
      <sz val="9"/>
      <color indexed="10"/>
      <name val="Arial"/>
      <family val="2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10"/>
      <name val="Arial"/>
      <family val="2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color indexed="8"/>
      <name val="Arial"/>
      <family val="2"/>
      <charset val="204"/>
    </font>
    <font>
      <sz val="16"/>
      <color theme="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color rgb="FFFF000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00B05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9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8"/>
      <color theme="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name val="Arial"/>
      <family val="2"/>
      <charset val="204"/>
    </font>
    <font>
      <sz val="20"/>
      <name val="Arial"/>
      <family val="2"/>
      <charset val="204"/>
    </font>
    <font>
      <sz val="18"/>
      <name val="Times New Roman"/>
      <family val="1"/>
      <charset val="204"/>
    </font>
    <font>
      <sz val="28"/>
      <name val="Times New Roman"/>
      <family val="1"/>
      <charset val="204"/>
    </font>
    <font>
      <sz val="11"/>
      <name val="Times New Roman"/>
      <family val="1"/>
      <charset val="204"/>
    </font>
    <font>
      <sz val="28"/>
      <name val="Arial"/>
      <family val="2"/>
      <charset val="204"/>
    </font>
    <font>
      <sz val="8"/>
      <name val="Times New Roman"/>
      <family val="1"/>
      <charset val="204"/>
    </font>
    <font>
      <sz val="10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sz val="16"/>
      <color rgb="FFFF0000"/>
      <name val="Arial"/>
      <family val="2"/>
      <charset val="204"/>
    </font>
    <font>
      <sz val="20"/>
      <name val="Times New Roman"/>
      <family val="1"/>
      <charset val="204"/>
    </font>
    <font>
      <sz val="16.5"/>
      <name val="Times New Roman"/>
      <family val="1"/>
      <charset val="204"/>
    </font>
    <font>
      <sz val="16.5"/>
      <name val="Arial"/>
      <family val="2"/>
      <charset val="204"/>
    </font>
    <font>
      <sz val="16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32" fillId="0" borderId="0" applyFont="0" applyFill="0" applyBorder="0" applyAlignment="0" applyProtection="0"/>
  </cellStyleXfs>
  <cellXfs count="277">
    <xf numFmtId="0" fontId="0" fillId="0" borderId="0" xfId="0"/>
    <xf numFmtId="0" fontId="18" fillId="0" borderId="0" xfId="0" applyFont="1" applyFill="1"/>
    <xf numFmtId="0" fontId="19" fillId="0" borderId="0" xfId="0" applyFont="1" applyFill="1"/>
    <xf numFmtId="2" fontId="8" fillId="0" borderId="0" xfId="0" applyNumberFormat="1" applyFont="1" applyFill="1"/>
    <xf numFmtId="0" fontId="3" fillId="0" borderId="0" xfId="0" applyFont="1" applyFill="1"/>
    <xf numFmtId="2" fontId="6" fillId="0" borderId="0" xfId="0" applyNumberFormat="1" applyFont="1" applyFill="1"/>
    <xf numFmtId="2" fontId="6" fillId="0" borderId="0" xfId="0" applyNumberFormat="1" applyFont="1" applyFill="1" applyAlignment="1">
      <alignment horizontal="center" vertical="center"/>
    </xf>
    <xf numFmtId="2" fontId="6" fillId="0" borderId="0" xfId="0" applyNumberFormat="1" applyFont="1" applyFill="1" applyAlignment="1">
      <alignment horizontal="center"/>
    </xf>
    <xf numFmtId="0" fontId="17" fillId="0" borderId="0" xfId="0" applyFont="1" applyFill="1"/>
    <xf numFmtId="0" fontId="6" fillId="0" borderId="0" xfId="0" applyFont="1" applyFill="1" applyAlignment="1">
      <alignment horizontal="center" vertical="center"/>
    </xf>
    <xf numFmtId="2" fontId="3" fillId="0" borderId="0" xfId="0" applyNumberFormat="1" applyFont="1" applyFill="1"/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/>
    <xf numFmtId="165" fontId="2" fillId="0" borderId="0" xfId="0" applyNumberFormat="1" applyFont="1" applyFill="1"/>
    <xf numFmtId="0" fontId="2" fillId="0" borderId="0" xfId="0" applyFont="1" applyFill="1"/>
    <xf numFmtId="0" fontId="22" fillId="0" borderId="0" xfId="0" applyFont="1" applyFill="1"/>
    <xf numFmtId="0" fontId="6" fillId="0" borderId="0" xfId="0" applyFont="1" applyFill="1" applyAlignment="1">
      <alignment textRotation="180" readingOrder="1"/>
    </xf>
    <xf numFmtId="0" fontId="5" fillId="0" borderId="0" xfId="0" applyFont="1" applyFill="1"/>
    <xf numFmtId="0" fontId="10" fillId="0" borderId="0" xfId="0" applyFont="1" applyFill="1" applyAlignment="1">
      <alignment horizontal="center" vertical="center" textRotation="180"/>
    </xf>
    <xf numFmtId="2" fontId="2" fillId="0" borderId="0" xfId="0" applyNumberFormat="1" applyFont="1" applyFill="1"/>
    <xf numFmtId="4" fontId="2" fillId="0" borderId="0" xfId="0" applyNumberFormat="1" applyFont="1" applyFill="1"/>
    <xf numFmtId="2" fontId="40" fillId="0" borderId="0" xfId="0" applyNumberFormat="1" applyFont="1" applyFill="1" applyAlignment="1">
      <alignment wrapText="1"/>
    </xf>
    <xf numFmtId="2" fontId="40" fillId="0" borderId="0" xfId="0" applyNumberFormat="1" applyFont="1" applyFill="1"/>
    <xf numFmtId="49" fontId="11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45" fillId="0" borderId="0" xfId="0" applyFont="1" applyFill="1"/>
    <xf numFmtId="0" fontId="21" fillId="0" borderId="0" xfId="0" applyFont="1" applyFill="1" applyAlignment="1">
      <alignment horizontal="left" vertical="center" wrapText="1"/>
    </xf>
    <xf numFmtId="2" fontId="21" fillId="0" borderId="0" xfId="0" applyNumberFormat="1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16" fillId="0" borderId="0" xfId="0" applyFont="1" applyFill="1"/>
    <xf numFmtId="0" fontId="45" fillId="0" borderId="0" xfId="0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left" vertical="center"/>
    </xf>
    <xf numFmtId="0" fontId="3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8" fillId="0" borderId="0" xfId="0" applyFont="1" applyFill="1"/>
    <xf numFmtId="0" fontId="1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165" fontId="13" fillId="0" borderId="1" xfId="0" applyNumberFormat="1" applyFont="1" applyFill="1" applyBorder="1" applyAlignment="1">
      <alignment horizontal="center" vertical="center"/>
    </xf>
    <xf numFmtId="165" fontId="13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/>
    <xf numFmtId="0" fontId="4" fillId="0" borderId="1" xfId="0" applyFont="1" applyFill="1" applyBorder="1"/>
    <xf numFmtId="2" fontId="4" fillId="0" borderId="1" xfId="0" applyNumberFormat="1" applyFont="1" applyFill="1" applyBorder="1"/>
    <xf numFmtId="165" fontId="13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/>
    <xf numFmtId="2" fontId="2" fillId="0" borderId="1" xfId="0" applyNumberFormat="1" applyFont="1" applyFill="1" applyBorder="1"/>
    <xf numFmtId="2" fontId="2" fillId="0" borderId="2" xfId="2" applyNumberFormat="1" applyFont="1" applyFill="1" applyBorder="1" applyAlignment="1">
      <alignment horizontal="right" wrapText="1"/>
    </xf>
    <xf numFmtId="2" fontId="2" fillId="0" borderId="1" xfId="2" applyNumberFormat="1" applyFont="1" applyFill="1" applyBorder="1" applyAlignment="1">
      <alignment horizontal="right" wrapText="1"/>
    </xf>
    <xf numFmtId="4" fontId="1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6" fillId="0" borderId="0" xfId="0" applyNumberFormat="1" applyFont="1" applyFill="1" applyAlignment="1">
      <alignment horizontal="center" vertical="center" textRotation="180"/>
    </xf>
    <xf numFmtId="0" fontId="13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65" fontId="13" fillId="0" borderId="0" xfId="0" applyNumberFormat="1" applyFont="1" applyFill="1" applyAlignment="1">
      <alignment horizontal="center" vertical="center" wrapText="1"/>
    </xf>
    <xf numFmtId="0" fontId="2" fillId="0" borderId="4" xfId="0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0" fontId="39" fillId="0" borderId="0" xfId="0" applyFont="1" applyFill="1" applyAlignment="1">
      <alignment textRotation="180" readingOrder="1"/>
    </xf>
    <xf numFmtId="0" fontId="41" fillId="0" borderId="0" xfId="0" applyFont="1" applyFill="1" applyAlignment="1"/>
    <xf numFmtId="165" fontId="41" fillId="0" borderId="0" xfId="0" applyNumberFormat="1" applyFont="1" applyFill="1" applyAlignment="1"/>
    <xf numFmtId="1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49" fillId="0" borderId="0" xfId="0" applyFont="1" applyFill="1" applyAlignment="1">
      <alignment textRotation="180" readingOrder="1"/>
    </xf>
    <xf numFmtId="4" fontId="4" fillId="0" borderId="0" xfId="0" applyNumberFormat="1" applyFont="1" applyFill="1"/>
    <xf numFmtId="0" fontId="36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center" vertical="center" wrapText="1"/>
    </xf>
    <xf numFmtId="165" fontId="36" fillId="0" borderId="1" xfId="0" applyNumberFormat="1" applyFont="1" applyFill="1" applyBorder="1" applyAlignment="1">
      <alignment horizontal="center" vertical="center" wrapText="1"/>
    </xf>
    <xf numFmtId="165" fontId="36" fillId="0" borderId="1" xfId="0" applyNumberFormat="1" applyFont="1" applyFill="1" applyBorder="1" applyAlignment="1">
      <alignment horizontal="center" vertical="center"/>
    </xf>
    <xf numFmtId="164" fontId="4" fillId="0" borderId="0" xfId="3" applyFont="1" applyFill="1"/>
    <xf numFmtId="0" fontId="8" fillId="0" borderId="1" xfId="1" applyFont="1" applyFill="1" applyBorder="1" applyAlignment="1">
      <alignment horizontal="left" vertical="center" wrapText="1"/>
    </xf>
    <xf numFmtId="0" fontId="13" fillId="0" borderId="0" xfId="0" applyFont="1" applyFill="1"/>
    <xf numFmtId="49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 wrapText="1"/>
    </xf>
    <xf numFmtId="0" fontId="12" fillId="0" borderId="0" xfId="0" applyFont="1" applyFill="1"/>
    <xf numFmtId="0" fontId="26" fillId="0" borderId="0" xfId="0" applyFont="1" applyFill="1"/>
    <xf numFmtId="2" fontId="40" fillId="0" borderId="0" xfId="0" applyNumberFormat="1" applyFont="1" applyFill="1" applyAlignment="1">
      <alignment horizontal="left"/>
    </xf>
    <xf numFmtId="0" fontId="49" fillId="0" borderId="0" xfId="0" applyFont="1" applyFill="1" applyAlignment="1">
      <alignment horizontal="center" vertical="center" textRotation="180" readingOrder="1"/>
    </xf>
    <xf numFmtId="0" fontId="11" fillId="0" borderId="1" xfId="0" applyFont="1" applyFill="1" applyBorder="1"/>
    <xf numFmtId="0" fontId="11" fillId="0" borderId="1" xfId="0" applyFont="1" applyFill="1" applyBorder="1" applyAlignment="1">
      <alignment wrapText="1"/>
    </xf>
    <xf numFmtId="165" fontId="30" fillId="0" borderId="1" xfId="0" applyNumberFormat="1" applyFont="1" applyFill="1" applyBorder="1" applyAlignment="1">
      <alignment horizontal="center" vertical="center"/>
    </xf>
    <xf numFmtId="165" fontId="11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 wrapText="1"/>
    </xf>
    <xf numFmtId="2" fontId="48" fillId="0" borderId="0" xfId="0" applyNumberFormat="1" applyFont="1" applyFill="1"/>
    <xf numFmtId="2" fontId="18" fillId="0" borderId="0" xfId="0" applyNumberFormat="1" applyFont="1" applyFill="1"/>
    <xf numFmtId="4" fontId="18" fillId="0" borderId="0" xfId="0" applyNumberFormat="1" applyFont="1" applyFill="1"/>
    <xf numFmtId="2" fontId="10" fillId="0" borderId="0" xfId="0" applyNumberFormat="1" applyFont="1" applyFill="1"/>
    <xf numFmtId="4" fontId="10" fillId="0" borderId="0" xfId="0" applyNumberFormat="1" applyFont="1" applyFill="1"/>
    <xf numFmtId="2" fontId="17" fillId="0" borderId="0" xfId="0" applyNumberFormat="1" applyFont="1" applyFill="1"/>
    <xf numFmtId="2" fontId="19" fillId="0" borderId="0" xfId="0" applyNumberFormat="1" applyFont="1" applyFill="1"/>
    <xf numFmtId="4" fontId="19" fillId="0" borderId="0" xfId="0" applyNumberFormat="1" applyFont="1" applyFill="1"/>
    <xf numFmtId="4" fontId="6" fillId="0" borderId="0" xfId="0" applyNumberFormat="1" applyFont="1" applyFill="1"/>
    <xf numFmtId="4" fontId="20" fillId="0" borderId="0" xfId="0" applyNumberFormat="1" applyFont="1" applyFill="1"/>
    <xf numFmtId="2" fontId="9" fillId="0" borderId="0" xfId="0" applyNumberFormat="1" applyFont="1" applyFill="1"/>
    <xf numFmtId="4" fontId="3" fillId="0" borderId="0" xfId="0" applyNumberFormat="1" applyFont="1" applyFill="1"/>
    <xf numFmtId="4" fontId="14" fillId="0" borderId="0" xfId="0" applyNumberFormat="1" applyFont="1" applyFill="1" applyAlignment="1">
      <alignment vertical="top"/>
    </xf>
    <xf numFmtId="2" fontId="6" fillId="0" borderId="1" xfId="0" applyNumberFormat="1" applyFont="1" applyFill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Fill="1"/>
    <xf numFmtId="2" fontId="6" fillId="0" borderId="0" xfId="0" applyNumberFormat="1" applyFont="1" applyFill="1" applyAlignment="1">
      <alignment wrapText="1"/>
    </xf>
    <xf numFmtId="2" fontId="6" fillId="0" borderId="0" xfId="0" applyNumberFormat="1" applyFont="1" applyFill="1" applyAlignment="1">
      <alignment horizontal="center" wrapText="1"/>
    </xf>
    <xf numFmtId="4" fontId="6" fillId="0" borderId="0" xfId="0" applyNumberFormat="1" applyFont="1" applyFill="1" applyAlignment="1">
      <alignment horizontal="left"/>
    </xf>
    <xf numFmtId="2" fontId="37" fillId="0" borderId="0" xfId="0" applyNumberFormat="1" applyFont="1" applyFill="1"/>
    <xf numFmtId="2" fontId="13" fillId="0" borderId="0" xfId="0" applyNumberFormat="1" applyFont="1" applyFill="1" applyAlignment="1">
      <alignment horizontal="left"/>
    </xf>
    <xf numFmtId="0" fontId="13" fillId="0" borderId="0" xfId="0" applyFont="1" applyFill="1" applyAlignment="1">
      <alignment horizontal="center" wrapText="1"/>
    </xf>
    <xf numFmtId="0" fontId="27" fillId="0" borderId="0" xfId="0" applyFont="1" applyFill="1"/>
    <xf numFmtId="0" fontId="27" fillId="0" borderId="0" xfId="0" applyFont="1" applyFill="1" applyAlignment="1">
      <alignment horizontal="center" wrapText="1"/>
    </xf>
    <xf numFmtId="2" fontId="27" fillId="0" borderId="0" xfId="0" applyNumberFormat="1" applyFont="1" applyFill="1" applyAlignment="1">
      <alignment horizontal="left"/>
    </xf>
    <xf numFmtId="0" fontId="28" fillId="0" borderId="0" xfId="0" applyFont="1" applyFill="1"/>
    <xf numFmtId="0" fontId="36" fillId="0" borderId="0" xfId="0" applyFont="1" applyFill="1"/>
    <xf numFmtId="0" fontId="33" fillId="0" borderId="0" xfId="0" applyFont="1" applyFill="1"/>
    <xf numFmtId="0" fontId="36" fillId="0" borderId="0" xfId="0" applyFont="1" applyFill="1" applyAlignment="1">
      <alignment wrapText="1"/>
    </xf>
    <xf numFmtId="0" fontId="43" fillId="0" borderId="0" xfId="0" applyFont="1" applyFill="1"/>
    <xf numFmtId="0" fontId="13" fillId="0" borderId="0" xfId="0" applyFont="1" applyFill="1" applyAlignment="1">
      <alignment wrapText="1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right" vertical="center"/>
    </xf>
    <xf numFmtId="49" fontId="11" fillId="0" borderId="1" xfId="0" applyNumberFormat="1" applyFont="1" applyFill="1" applyBorder="1"/>
    <xf numFmtId="4" fontId="2" fillId="0" borderId="0" xfId="0" applyNumberFormat="1" applyFont="1" applyFill="1" applyAlignment="1">
      <alignment horizontal="righ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49" fontId="30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/>
    <xf numFmtId="165" fontId="30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0" fontId="11" fillId="0" borderId="1" xfId="0" applyFont="1" applyFill="1" applyBorder="1" applyAlignment="1">
      <alignment horizontal="left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9" fontId="41" fillId="0" borderId="1" xfId="0" applyNumberFormat="1" applyFont="1" applyFill="1" applyBorder="1"/>
    <xf numFmtId="4" fontId="24" fillId="0" borderId="0" xfId="0" applyNumberFormat="1" applyFont="1" applyFill="1"/>
    <xf numFmtId="0" fontId="2" fillId="0" borderId="0" xfId="0" applyFont="1" applyFill="1" applyAlignment="1">
      <alignment wrapText="1"/>
    </xf>
    <xf numFmtId="0" fontId="24" fillId="0" borderId="0" xfId="0" applyFont="1" applyFill="1"/>
    <xf numFmtId="0" fontId="2" fillId="0" borderId="0" xfId="0" applyFont="1" applyFill="1" applyAlignment="1">
      <alignment vertical="center"/>
    </xf>
    <xf numFmtId="0" fontId="39" fillId="0" borderId="0" xfId="0" applyFont="1" applyFill="1" applyAlignment="1">
      <alignment horizontal="right"/>
    </xf>
    <xf numFmtId="0" fontId="34" fillId="0" borderId="0" xfId="0" applyFont="1" applyFill="1"/>
    <xf numFmtId="0" fontId="49" fillId="0" borderId="0" xfId="0" applyFont="1" applyFill="1" applyAlignment="1">
      <alignment horizontal="center" textRotation="180" readingOrder="1"/>
    </xf>
    <xf numFmtId="0" fontId="2" fillId="0" borderId="1" xfId="0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65" fontId="8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/>
    <xf numFmtId="2" fontId="8" fillId="0" borderId="1" xfId="0" applyNumberFormat="1" applyFont="1" applyFill="1" applyBorder="1" applyAlignment="1">
      <alignment horizontal="center" vertical="top" wrapText="1"/>
    </xf>
    <xf numFmtId="2" fontId="6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" fontId="40" fillId="0" borderId="0" xfId="0" applyNumberFormat="1" applyFont="1" applyFill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/>
    </xf>
    <xf numFmtId="2" fontId="28" fillId="0" borderId="0" xfId="0" applyNumberFormat="1" applyFont="1" applyFill="1" applyAlignment="1">
      <alignment horizontal="left" wrapText="1"/>
    </xf>
    <xf numFmtId="2" fontId="28" fillId="0" borderId="0" xfId="0" applyNumberFormat="1" applyFont="1" applyFill="1" applyAlignment="1">
      <alignment horizontal="left" vertical="center" wrapText="1"/>
    </xf>
    <xf numFmtId="0" fontId="44" fillId="0" borderId="0" xfId="0" applyFont="1" applyFill="1"/>
    <xf numFmtId="0" fontId="13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0" fillId="0" borderId="0" xfId="0" applyFont="1" applyFill="1"/>
    <xf numFmtId="0" fontId="6" fillId="0" borderId="0" xfId="0" applyFont="1" applyFill="1"/>
    <xf numFmtId="2" fontId="6" fillId="0" borderId="0" xfId="0" applyNumberFormat="1" applyFont="1" applyFill="1" applyAlignment="1">
      <alignment horizontal="left" wrapText="1"/>
    </xf>
    <xf numFmtId="2" fontId="6" fillId="0" borderId="0" xfId="0" applyNumberFormat="1" applyFont="1" applyFill="1" applyAlignment="1">
      <alignment horizontal="left" vertical="center" wrapText="1"/>
    </xf>
    <xf numFmtId="0" fontId="44" fillId="0" borderId="0" xfId="0" applyFont="1" applyFill="1" applyAlignment="1">
      <alignment horizontal="left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/>
    </xf>
    <xf numFmtId="2" fontId="6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1" fillId="0" borderId="0" xfId="0" applyFont="1" applyFill="1"/>
    <xf numFmtId="165" fontId="50" fillId="0" borderId="1" xfId="0" applyNumberFormat="1" applyFont="1" applyFill="1" applyBorder="1" applyAlignment="1">
      <alignment horizontal="center" vertical="center"/>
    </xf>
    <xf numFmtId="168" fontId="51" fillId="0" borderId="1" xfId="0" applyNumberFormat="1" applyFont="1" applyFill="1" applyBorder="1" applyAlignment="1">
      <alignment horizontal="center" vertical="center"/>
    </xf>
    <xf numFmtId="165" fontId="52" fillId="0" borderId="1" xfId="0" applyNumberFormat="1" applyFont="1" applyFill="1" applyBorder="1" applyAlignment="1">
      <alignment horizontal="center" vertical="center"/>
    </xf>
    <xf numFmtId="165" fontId="50" fillId="0" borderId="1" xfId="3" applyNumberFormat="1" applyFont="1" applyFill="1" applyBorder="1" applyAlignment="1">
      <alignment horizontal="center" vertical="center"/>
    </xf>
    <xf numFmtId="167" fontId="50" fillId="0" borderId="1" xfId="0" applyNumberFormat="1" applyFont="1" applyFill="1" applyBorder="1" applyAlignment="1">
      <alignment horizontal="center" vertical="center"/>
    </xf>
    <xf numFmtId="166" fontId="50" fillId="0" borderId="1" xfId="0" applyNumberFormat="1" applyFont="1" applyFill="1" applyBorder="1" applyAlignment="1">
      <alignment horizontal="center" vertical="center"/>
    </xf>
    <xf numFmtId="165" fontId="52" fillId="0" borderId="1" xfId="3" applyNumberFormat="1" applyFont="1" applyFill="1" applyBorder="1" applyAlignment="1">
      <alignment horizontal="center" vertical="center"/>
    </xf>
    <xf numFmtId="167" fontId="52" fillId="0" borderId="1" xfId="0" applyNumberFormat="1" applyFont="1" applyFill="1" applyBorder="1" applyAlignment="1">
      <alignment horizontal="center" vertical="center"/>
    </xf>
    <xf numFmtId="166" fontId="52" fillId="0" borderId="1" xfId="0" applyNumberFormat="1" applyFont="1" applyFill="1" applyBorder="1" applyAlignment="1">
      <alignment horizontal="center" vertical="center"/>
    </xf>
    <xf numFmtId="167" fontId="50" fillId="0" borderId="1" xfId="3" applyNumberFormat="1" applyFont="1" applyFill="1" applyBorder="1" applyAlignment="1">
      <alignment horizontal="center" vertical="center"/>
    </xf>
    <xf numFmtId="166" fontId="50" fillId="0" borderId="1" xfId="3" applyNumberFormat="1" applyFont="1" applyFill="1" applyBorder="1" applyAlignment="1">
      <alignment horizontal="center" vertical="center"/>
    </xf>
    <xf numFmtId="2" fontId="50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1" fillId="0" borderId="0" xfId="0" applyFont="1" applyFill="1"/>
    <xf numFmtId="0" fontId="31" fillId="0" borderId="0" xfId="0" applyFont="1" applyFill="1"/>
    <xf numFmtId="2" fontId="16" fillId="0" borderId="0" xfId="0" applyNumberFormat="1" applyFont="1" applyFill="1" applyAlignment="1">
      <alignment horizontal="left"/>
    </xf>
    <xf numFmtId="14" fontId="2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165" fontId="46" fillId="0" borderId="1" xfId="0" applyNumberFormat="1" applyFont="1" applyFill="1" applyBorder="1" applyAlignment="1">
      <alignment horizontal="center" vertical="center" wrapText="1"/>
    </xf>
    <xf numFmtId="166" fontId="24" fillId="0" borderId="0" xfId="0" applyNumberFormat="1" applyFont="1" applyFill="1"/>
    <xf numFmtId="0" fontId="30" fillId="0" borderId="1" xfId="1" applyFont="1" applyFill="1" applyBorder="1" applyAlignment="1">
      <alignment horizontal="left" vertical="center" wrapText="1"/>
    </xf>
    <xf numFmtId="165" fontId="46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textRotation="180"/>
    </xf>
    <xf numFmtId="0" fontId="11" fillId="0" borderId="1" xfId="2" applyFont="1" applyFill="1" applyBorder="1" applyAlignment="1">
      <alignment horizontal="left" vertical="center" wrapText="1"/>
    </xf>
    <xf numFmtId="0" fontId="47" fillId="0" borderId="0" xfId="0" applyFont="1" applyFill="1" applyAlignment="1">
      <alignment horizontal="center" textRotation="180"/>
    </xf>
    <xf numFmtId="0" fontId="35" fillId="0" borderId="0" xfId="0" applyFont="1" applyFill="1"/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/>
    <xf numFmtId="165" fontId="29" fillId="0" borderId="1" xfId="0" applyNumberFormat="1" applyFont="1" applyFill="1" applyBorder="1" applyAlignment="1">
      <alignment horizontal="center" vertical="center" wrapText="1"/>
    </xf>
    <xf numFmtId="165" fontId="29" fillId="0" borderId="1" xfId="0" applyNumberFormat="1" applyFont="1" applyFill="1" applyBorder="1" applyAlignment="1">
      <alignment horizontal="center" vertical="center"/>
    </xf>
    <xf numFmtId="165" fontId="29" fillId="0" borderId="0" xfId="0" applyNumberFormat="1" applyFont="1" applyFill="1" applyAlignment="1">
      <alignment horizontal="center" vertical="center"/>
    </xf>
    <xf numFmtId="0" fontId="15" fillId="0" borderId="0" xfId="0" applyFont="1" applyFill="1"/>
    <xf numFmtId="0" fontId="11" fillId="0" borderId="1" xfId="0" applyFont="1" applyFill="1" applyBorder="1" applyAlignment="1">
      <alignment vertical="center" wrapText="1"/>
    </xf>
    <xf numFmtId="0" fontId="25" fillId="0" borderId="0" xfId="0" applyFont="1" applyFill="1"/>
    <xf numFmtId="0" fontId="49" fillId="0" borderId="0" xfId="0" applyFont="1" applyFill="1" applyAlignment="1">
      <alignment horizontal="left" wrapText="1"/>
    </xf>
    <xf numFmtId="0" fontId="49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vertical="top"/>
    </xf>
    <xf numFmtId="2" fontId="3" fillId="0" borderId="0" xfId="0" applyNumberFormat="1" applyFont="1" applyFill="1" applyAlignment="1">
      <alignment horizontal="left" wrapText="1"/>
    </xf>
    <xf numFmtId="2" fontId="3" fillId="0" borderId="0" xfId="0" applyNumberFormat="1" applyFont="1" applyFill="1" applyAlignment="1">
      <alignment horizontal="left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0" fillId="0" borderId="0" xfId="0" applyFont="1" applyFill="1" applyAlignment="1">
      <alignment horizontal="center" vertical="top"/>
    </xf>
    <xf numFmtId="0" fontId="42" fillId="0" borderId="0" xfId="0" applyFont="1" applyFill="1" applyAlignment="1">
      <alignment horizontal="center"/>
    </xf>
    <xf numFmtId="4" fontId="40" fillId="0" borderId="0" xfId="0" applyNumberFormat="1" applyFont="1" applyFill="1" applyAlignment="1">
      <alignment horizontal="center" vertical="top"/>
    </xf>
    <xf numFmtId="2" fontId="40" fillId="0" borderId="0" xfId="0" applyNumberFormat="1" applyFont="1" applyFill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6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0" fillId="0" borderId="0" xfId="0" applyFill="1" applyAlignment="1"/>
    <xf numFmtId="2" fontId="28" fillId="0" borderId="0" xfId="0" applyNumberFormat="1" applyFont="1" applyFill="1" applyAlignment="1">
      <alignment horizontal="left" wrapText="1"/>
    </xf>
    <xf numFmtId="2" fontId="28" fillId="0" borderId="0" xfId="0" applyNumberFormat="1" applyFont="1" applyFill="1" applyAlignment="1">
      <alignment horizontal="left" vertical="center" wrapText="1"/>
    </xf>
    <xf numFmtId="2" fontId="28" fillId="0" borderId="0" xfId="0" applyNumberFormat="1" applyFont="1" applyFill="1" applyAlignment="1">
      <alignment horizontal="center"/>
    </xf>
    <xf numFmtId="0" fontId="44" fillId="0" borderId="0" xfId="0" applyFont="1" applyFill="1"/>
    <xf numFmtId="2" fontId="6" fillId="0" borderId="0" xfId="0" applyNumberFormat="1" applyFont="1" applyFill="1" applyAlignment="1">
      <alignment horizontal="left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41" fillId="0" borderId="0" xfId="0" applyFont="1" applyFill="1" applyAlignment="1">
      <alignment horizontal="left" vertical="center" wrapText="1"/>
    </xf>
    <xf numFmtId="0" fontId="41" fillId="0" borderId="0" xfId="0" applyFont="1" applyFill="1"/>
    <xf numFmtId="0" fontId="8" fillId="0" borderId="0" xfId="0" applyFont="1" applyFill="1" applyAlignment="1">
      <alignment horizontal="left" vertical="top" wrapText="1"/>
    </xf>
    <xf numFmtId="2" fontId="6" fillId="0" borderId="0" xfId="0" applyNumberFormat="1" applyFont="1" applyFill="1" applyAlignment="1">
      <alignment horizontal="left" vertical="center" wrapText="1"/>
    </xf>
    <xf numFmtId="2" fontId="28" fillId="0" borderId="0" xfId="0" applyNumberFormat="1" applyFont="1" applyFill="1" applyAlignment="1">
      <alignment horizontal="left"/>
    </xf>
    <xf numFmtId="0" fontId="44" fillId="0" borderId="0" xfId="0" applyFont="1" applyFill="1" applyAlignment="1">
      <alignment horizontal="left"/>
    </xf>
    <xf numFmtId="2" fontId="28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2" fontId="6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/>
    </xf>
    <xf numFmtId="2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 vertical="center"/>
    </xf>
  </cellXfs>
  <cellStyles count="4">
    <cellStyle name="Обычный" xfId="0" builtinId="0"/>
    <cellStyle name="Обычный 2" xfId="1"/>
    <cellStyle name="Обычный_лимиты 2009 в администр.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444500</xdr:colOff>
      <xdr:row>1</xdr:row>
      <xdr:rowOff>63500</xdr:rowOff>
    </xdr:from>
    <xdr:to>
      <xdr:col>45</xdr:col>
      <xdr:colOff>95250</xdr:colOff>
      <xdr:row>10</xdr:row>
      <xdr:rowOff>63500</xdr:rowOff>
    </xdr:to>
    <xdr:sp macro="" textlink="">
      <xdr:nvSpPr>
        <xdr:cNvPr id="7" name="Прямоугольни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9192875" y="254000"/>
          <a:ext cx="4921250" cy="2889250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eaLnBrk="1" fontAlgn="auto" latinLnBrk="0" hangingPunct="1"/>
          <a: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</a:t>
          </a:r>
          <a:r>
            <a:rPr lang="en-US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br>
            <a:rPr lang="en-US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постановлению администрации</a:t>
          </a:r>
          <a:b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муниципального образования </a:t>
          </a:r>
          <a:b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Каневской муниципальный район </a:t>
          </a:r>
          <a:endParaRPr lang="ru-RU" sz="2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Краснодарского края </a:t>
          </a:r>
          <a:b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___________№__________    </a:t>
          </a:r>
          <a:endParaRPr lang="ru-RU" sz="2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161924</xdr:colOff>
      <xdr:row>0</xdr:row>
      <xdr:rowOff>200024</xdr:rowOff>
    </xdr:from>
    <xdr:to>
      <xdr:col>17</xdr:col>
      <xdr:colOff>26193</xdr:colOff>
      <xdr:row>2</xdr:row>
      <xdr:rowOff>438150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476999" y="200024"/>
          <a:ext cx="2893219" cy="1514476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eaLnBrk="1" fontAlgn="auto" latinLnBrk="0" hangingPunct="1"/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2</a:t>
          </a:r>
          <a:r>
            <a:rPr lang="en-US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/>
          </a:r>
          <a:br>
            <a:rPr lang="en-US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постановлению администрации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муниципального образования 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Каневской муниципальный район </a:t>
          </a:r>
          <a:endParaRPr lang="ru-RU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Краснодарского края 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___________№__________ </a:t>
          </a:r>
          <a:endParaRPr kumimoji="0" lang="ru-RU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78441</xdr:colOff>
      <xdr:row>0</xdr:row>
      <xdr:rowOff>57150</xdr:rowOff>
    </xdr:from>
    <xdr:to>
      <xdr:col>20</xdr:col>
      <xdr:colOff>0</xdr:colOff>
      <xdr:row>1</xdr:row>
      <xdr:rowOff>571499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757147" y="57150"/>
          <a:ext cx="2812677" cy="1388408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eaLnBrk="1" fontAlgn="auto" latinLnBrk="0" hangingPunct="1"/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3</a:t>
          </a:r>
          <a:r>
            <a:rPr lang="en-US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/>
          </a:r>
          <a:br>
            <a:rPr lang="en-US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постановлению администрации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муниципального образования 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Каневской муниципальный район  </a:t>
          </a:r>
          <a:endParaRPr lang="ru-RU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Краснодарского края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___________№__________    </a:t>
          </a:r>
          <a:endParaRPr lang="ru-RU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104774</xdr:colOff>
      <xdr:row>2</xdr:row>
      <xdr:rowOff>19051</xdr:rowOff>
    </xdr:from>
    <xdr:to>
      <xdr:col>26</xdr:col>
      <xdr:colOff>66674</xdr:colOff>
      <xdr:row>10</xdr:row>
      <xdr:rowOff>1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563349" y="19051"/>
          <a:ext cx="2867025" cy="1695450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eaLnBrk="1" fontAlgn="auto" latinLnBrk="0" hangingPunct="1"/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</a:t>
          </a:r>
          <a:r>
            <a:rPr lang="en-GB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en-US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/>
          </a:r>
          <a:br>
            <a:rPr lang="en-US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постановлению администрации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муниципального образования 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Каневской муниципальный  район  </a:t>
          </a:r>
          <a:endParaRPr lang="ru-RU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Краснодарского края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___________№__________    </a:t>
          </a:r>
          <a:endParaRPr lang="ru-RU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8"/>
  <sheetViews>
    <sheetView view="pageBreakPreview" topLeftCell="D1" zoomScale="60" zoomScaleNormal="50" workbookViewId="0">
      <selection activeCell="AU108" sqref="AU108"/>
    </sheetView>
  </sheetViews>
  <sheetFormatPr defaultColWidth="9" defaultRowHeight="37.5" customHeight="1" outlineLevelRow="1" outlineLevelCol="2" x14ac:dyDescent="0.3"/>
  <cols>
    <col min="1" max="1" width="6.7109375" style="15" customWidth="1"/>
    <col min="2" max="2" width="17.85546875" style="15" customWidth="1"/>
    <col min="3" max="3" width="20.85546875" style="15" hidden="1" customWidth="1" outlineLevel="1"/>
    <col min="4" max="4" width="13.7109375" style="118" customWidth="1" collapsed="1"/>
    <col min="5" max="5" width="11.7109375" style="20" hidden="1" customWidth="1" outlineLevel="1"/>
    <col min="6" max="6" width="13" style="21" customWidth="1" collapsed="1"/>
    <col min="7" max="7" width="11.7109375" style="20" customWidth="1"/>
    <col min="8" max="8" width="11.7109375" style="20" hidden="1" customWidth="1" outlineLevel="1"/>
    <col min="9" max="9" width="13" style="21" customWidth="1" collapsed="1"/>
    <col min="10" max="10" width="11.7109375" style="20" customWidth="1"/>
    <col min="11" max="11" width="11.7109375" style="20" hidden="1" customWidth="1" outlineLevel="2"/>
    <col min="12" max="12" width="13" style="21" customWidth="1" collapsed="1"/>
    <col min="13" max="13" width="12.42578125" style="20" customWidth="1"/>
    <col min="14" max="14" width="11.7109375" style="20" hidden="1" customWidth="1" outlineLevel="1"/>
    <col min="15" max="15" width="13" style="21" customWidth="1" collapsed="1"/>
    <col min="16" max="16" width="12.42578125" style="20" customWidth="1"/>
    <col min="17" max="17" width="11.7109375" style="20" hidden="1" customWidth="1" outlineLevel="1"/>
    <col min="18" max="18" width="13" style="21" customWidth="1" collapsed="1"/>
    <col min="19" max="19" width="11.7109375" style="20" customWidth="1"/>
    <col min="20" max="20" width="11.7109375" style="20" hidden="1" customWidth="1" outlineLevel="1"/>
    <col min="21" max="21" width="13" style="21" customWidth="1" collapsed="1"/>
    <col min="22" max="22" width="11.7109375" style="20" customWidth="1"/>
    <col min="23" max="23" width="11.7109375" style="20" hidden="1" customWidth="1" outlineLevel="1"/>
    <col min="24" max="24" width="13" style="21" customWidth="1" collapsed="1"/>
    <col min="25" max="25" width="12.42578125" style="20" customWidth="1"/>
    <col min="26" max="26" width="11.7109375" style="20" hidden="1" customWidth="1" outlineLevel="1"/>
    <col min="27" max="27" width="13" style="21" customWidth="1" collapsed="1"/>
    <col min="28" max="28" width="11.7109375" style="20" customWidth="1"/>
    <col min="29" max="29" width="11.7109375" style="20" hidden="1" customWidth="1" outlineLevel="1"/>
    <col min="30" max="30" width="13" style="20" customWidth="1" collapsed="1"/>
    <col min="31" max="31" width="14.85546875" style="20" customWidth="1"/>
    <col min="32" max="32" width="14.85546875" style="20" hidden="1" customWidth="1" outlineLevel="1"/>
    <col min="33" max="33" width="14.85546875" style="20" customWidth="1" collapsed="1"/>
    <col min="34" max="34" width="12.85546875" style="20" customWidth="1"/>
    <col min="35" max="35" width="12.85546875" style="20" hidden="1" customWidth="1" outlineLevel="1"/>
    <col min="36" max="36" width="12.85546875" style="20" customWidth="1" collapsed="1"/>
    <col min="37" max="37" width="12.85546875" style="20" customWidth="1"/>
    <col min="38" max="38" width="12.85546875" style="20" hidden="1" customWidth="1" outlineLevel="1"/>
    <col min="39" max="39" width="12.85546875" style="20" customWidth="1" collapsed="1"/>
    <col min="40" max="40" width="13.28515625" style="20" customWidth="1"/>
    <col min="41" max="41" width="14.28515625" style="20" customWidth="1"/>
    <col min="42" max="43" width="9" style="15" hidden="1" customWidth="1" outlineLevel="1"/>
    <col min="44" max="44" width="15.28515625" style="15" hidden="1" customWidth="1" outlineLevel="1"/>
    <col min="45" max="45" width="11.140625" style="15" hidden="1" customWidth="1" outlineLevel="1"/>
    <col min="46" max="46" width="4.5703125" style="15" customWidth="1" collapsed="1"/>
    <col min="47" max="47" width="16.140625" style="15" customWidth="1"/>
    <col min="48" max="16384" width="9" style="15"/>
  </cols>
  <sheetData>
    <row r="1" spans="1:44" s="181" customFormat="1" ht="15" customHeight="1" x14ac:dyDescent="0.3">
      <c r="B1" s="1"/>
      <c r="C1" s="1"/>
      <c r="D1" s="98"/>
      <c r="E1" s="99"/>
      <c r="F1" s="100"/>
      <c r="G1" s="101"/>
      <c r="H1" s="101"/>
      <c r="I1" s="102"/>
      <c r="J1" s="101"/>
      <c r="K1" s="101"/>
      <c r="L1" s="102"/>
      <c r="M1" s="101"/>
      <c r="N1" s="101"/>
      <c r="O1" s="102"/>
      <c r="P1" s="101"/>
      <c r="Q1" s="101"/>
      <c r="R1" s="102"/>
      <c r="S1" s="101"/>
      <c r="T1" s="101"/>
      <c r="U1" s="102"/>
      <c r="V1" s="101"/>
      <c r="W1" s="101"/>
      <c r="X1" s="102"/>
      <c r="Y1" s="101"/>
      <c r="Z1" s="101"/>
      <c r="AA1" s="102"/>
      <c r="AB1" s="101"/>
      <c r="AC1" s="101"/>
      <c r="AD1" s="101"/>
      <c r="AE1" s="101"/>
      <c r="AF1" s="101"/>
      <c r="AG1" s="101"/>
      <c r="AH1" s="101"/>
      <c r="AI1" s="101"/>
      <c r="AJ1" s="235"/>
      <c r="AK1" s="235"/>
      <c r="AL1" s="235"/>
      <c r="AM1" s="235"/>
      <c r="AN1" s="235"/>
      <c r="AO1" s="235"/>
    </row>
    <row r="2" spans="1:44" s="181" customFormat="1" ht="12" customHeight="1" x14ac:dyDescent="0.3">
      <c r="B2" s="2"/>
      <c r="C2" s="2"/>
      <c r="D2" s="103"/>
      <c r="E2" s="104"/>
      <c r="F2" s="105"/>
      <c r="G2" s="3"/>
      <c r="H2" s="3"/>
      <c r="I2" s="102"/>
      <c r="J2" s="101"/>
      <c r="K2" s="101"/>
      <c r="L2" s="102"/>
      <c r="M2" s="101"/>
      <c r="N2" s="101"/>
      <c r="O2" s="102"/>
      <c r="P2" s="101"/>
      <c r="Q2" s="101"/>
      <c r="R2" s="102"/>
      <c r="S2" s="101"/>
      <c r="T2" s="101"/>
      <c r="U2" s="102"/>
      <c r="V2" s="101"/>
      <c r="W2" s="101"/>
      <c r="X2" s="102"/>
      <c r="Y2" s="101"/>
      <c r="Z2" s="101"/>
      <c r="AA2" s="102"/>
      <c r="AB2" s="101"/>
      <c r="AC2" s="101"/>
      <c r="AD2" s="101"/>
      <c r="AE2" s="101"/>
      <c r="AF2" s="101"/>
      <c r="AG2" s="101"/>
      <c r="AH2" s="101"/>
      <c r="AI2" s="101"/>
      <c r="AJ2" s="236"/>
      <c r="AK2" s="236"/>
      <c r="AL2" s="236"/>
      <c r="AM2" s="236"/>
      <c r="AN2" s="236"/>
      <c r="AO2" s="236"/>
    </row>
    <row r="3" spans="1:44" s="4" customFormat="1" ht="34.5" hidden="1" customHeight="1" outlineLevel="1" x14ac:dyDescent="0.3">
      <c r="B3" s="2"/>
      <c r="C3" s="2"/>
      <c r="D3" s="103"/>
      <c r="E3" s="104"/>
      <c r="F3" s="105"/>
      <c r="G3" s="3"/>
      <c r="H3" s="3"/>
      <c r="I3" s="106"/>
      <c r="J3" s="5"/>
      <c r="K3" s="5"/>
      <c r="L3" s="106"/>
      <c r="M3" s="5"/>
      <c r="N3" s="5"/>
      <c r="O3" s="106"/>
      <c r="P3" s="5"/>
      <c r="Q3" s="5"/>
      <c r="R3" s="106"/>
      <c r="S3" s="5"/>
      <c r="T3" s="5"/>
      <c r="U3" s="106"/>
      <c r="V3" s="5"/>
      <c r="W3" s="5"/>
      <c r="X3" s="106"/>
      <c r="Y3" s="5"/>
      <c r="Z3" s="5"/>
      <c r="AA3" s="106"/>
      <c r="AB3" s="5"/>
      <c r="AC3" s="5"/>
      <c r="AD3" s="5"/>
      <c r="AE3" s="5"/>
      <c r="AF3" s="5"/>
      <c r="AG3" s="5"/>
      <c r="AH3" s="5"/>
      <c r="AI3" s="5"/>
      <c r="AJ3" s="6"/>
      <c r="AK3" s="6"/>
      <c r="AL3" s="6"/>
      <c r="AM3" s="7" t="s">
        <v>73</v>
      </c>
      <c r="AN3" s="6"/>
      <c r="AO3" s="182"/>
    </row>
    <row r="4" spans="1:44" s="4" customFormat="1" ht="21" hidden="1" customHeight="1" outlineLevel="1" x14ac:dyDescent="0.3">
      <c r="B4" s="8"/>
      <c r="C4" s="8"/>
      <c r="D4" s="103"/>
      <c r="E4" s="103"/>
      <c r="F4" s="107"/>
      <c r="G4" s="5"/>
      <c r="H4" s="5"/>
      <c r="I4" s="106"/>
      <c r="J4" s="5"/>
      <c r="K4" s="5"/>
      <c r="L4" s="106"/>
      <c r="M4" s="5"/>
      <c r="N4" s="5"/>
      <c r="O4" s="106"/>
      <c r="P4" s="5"/>
      <c r="Q4" s="5"/>
      <c r="R4" s="106"/>
      <c r="S4" s="5"/>
      <c r="T4" s="5"/>
      <c r="U4" s="106"/>
      <c r="V4" s="5"/>
      <c r="W4" s="5"/>
      <c r="X4" s="106"/>
      <c r="Y4" s="5"/>
      <c r="Z4" s="5"/>
      <c r="AA4" s="106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6" t="s">
        <v>48</v>
      </c>
      <c r="AN4" s="6"/>
      <c r="AO4" s="6"/>
    </row>
    <row r="5" spans="1:44" s="4" customFormat="1" ht="16.5" hidden="1" customHeight="1" outlineLevel="1" x14ac:dyDescent="0.3">
      <c r="B5" s="8"/>
      <c r="C5" s="8"/>
      <c r="D5" s="103"/>
      <c r="E5" s="103"/>
      <c r="F5" s="107"/>
      <c r="G5" s="5"/>
      <c r="H5" s="5"/>
      <c r="I5" s="106"/>
      <c r="J5" s="5"/>
      <c r="K5" s="5"/>
      <c r="L5" s="106"/>
      <c r="M5" s="5"/>
      <c r="N5" s="5"/>
      <c r="O5" s="106"/>
      <c r="P5" s="5"/>
      <c r="Q5" s="5"/>
      <c r="R5" s="106"/>
      <c r="S5" s="5"/>
      <c r="T5" s="5"/>
      <c r="U5" s="106"/>
      <c r="V5" s="5"/>
      <c r="W5" s="5"/>
      <c r="X5" s="106"/>
      <c r="Y5" s="5"/>
      <c r="Z5" s="5"/>
      <c r="AA5" s="106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6" t="s">
        <v>0</v>
      </c>
      <c r="AN5" s="6"/>
      <c r="AO5" s="6"/>
    </row>
    <row r="6" spans="1:44" s="4" customFormat="1" ht="17.25" hidden="1" customHeight="1" outlineLevel="1" x14ac:dyDescent="0.3">
      <c r="B6" s="8"/>
      <c r="C6" s="8"/>
      <c r="D6" s="103"/>
      <c r="E6" s="103"/>
      <c r="F6" s="107"/>
      <c r="G6" s="5"/>
      <c r="H6" s="5"/>
      <c r="I6" s="106"/>
      <c r="J6" s="5"/>
      <c r="K6" s="5"/>
      <c r="L6" s="106"/>
      <c r="M6" s="5"/>
      <c r="N6" s="5"/>
      <c r="O6" s="106"/>
      <c r="P6" s="5"/>
      <c r="Q6" s="5"/>
      <c r="R6" s="106"/>
      <c r="S6" s="5"/>
      <c r="T6" s="5"/>
      <c r="U6" s="106"/>
      <c r="V6" s="5"/>
      <c r="W6" s="5"/>
      <c r="X6" s="106"/>
      <c r="Y6" s="5"/>
      <c r="Z6" s="5"/>
      <c r="AA6" s="106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7" t="s">
        <v>1</v>
      </c>
      <c r="AN6" s="6"/>
      <c r="AO6" s="6"/>
    </row>
    <row r="7" spans="1:44" s="4" customFormat="1" ht="15.75" hidden="1" customHeight="1" outlineLevel="1" x14ac:dyDescent="0.3">
      <c r="B7" s="8"/>
      <c r="C7" s="8"/>
      <c r="D7" s="103"/>
      <c r="E7" s="103"/>
      <c r="F7" s="107"/>
      <c r="G7" s="5"/>
      <c r="H7" s="5"/>
      <c r="I7" s="106"/>
      <c r="J7" s="5"/>
      <c r="K7" s="5"/>
      <c r="L7" s="106"/>
      <c r="M7" s="5"/>
      <c r="N7" s="5"/>
      <c r="O7" s="106"/>
      <c r="P7" s="5"/>
      <c r="Q7" s="5"/>
      <c r="R7" s="106"/>
      <c r="S7" s="5"/>
      <c r="T7" s="5"/>
      <c r="U7" s="106"/>
      <c r="V7" s="5"/>
      <c r="W7" s="5"/>
      <c r="X7" s="106"/>
      <c r="Y7" s="5"/>
      <c r="Z7" s="5"/>
      <c r="AA7" s="106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6" t="s">
        <v>2</v>
      </c>
      <c r="AN7" s="6"/>
      <c r="AO7" s="6"/>
    </row>
    <row r="8" spans="1:44" s="4" customFormat="1" ht="21" hidden="1" customHeight="1" outlineLevel="1" x14ac:dyDescent="0.3">
      <c r="B8" s="8"/>
      <c r="C8" s="8"/>
      <c r="D8" s="103"/>
      <c r="E8" s="103"/>
      <c r="F8" s="107"/>
      <c r="G8" s="5"/>
      <c r="H8" s="5"/>
      <c r="I8" s="106"/>
      <c r="J8" s="5"/>
      <c r="K8" s="5"/>
      <c r="L8" s="106"/>
      <c r="M8" s="5"/>
      <c r="N8" s="5"/>
      <c r="O8" s="106"/>
      <c r="P8" s="5"/>
      <c r="Q8" s="5"/>
      <c r="R8" s="106"/>
      <c r="S8" s="5"/>
      <c r="T8" s="5"/>
      <c r="U8" s="106"/>
      <c r="V8" s="5"/>
      <c r="W8" s="5"/>
      <c r="X8" s="106"/>
      <c r="Y8" s="5"/>
      <c r="Z8" s="5"/>
      <c r="AA8" s="106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9" t="s">
        <v>246</v>
      </c>
      <c r="AN8" s="6"/>
      <c r="AO8" s="6"/>
    </row>
    <row r="9" spans="1:44" s="4" customFormat="1" ht="7.5" hidden="1" customHeight="1" outlineLevel="1" x14ac:dyDescent="0.3">
      <c r="B9" s="8"/>
      <c r="C9" s="8"/>
      <c r="D9" s="103"/>
      <c r="E9" s="103"/>
      <c r="F9" s="107"/>
      <c r="G9" s="5"/>
      <c r="H9" s="5"/>
      <c r="I9" s="106"/>
      <c r="J9" s="5"/>
      <c r="K9" s="5"/>
      <c r="L9" s="106"/>
      <c r="M9" s="5"/>
      <c r="N9" s="5"/>
      <c r="O9" s="106"/>
      <c r="P9" s="5"/>
      <c r="Q9" s="5"/>
      <c r="R9" s="106"/>
      <c r="S9" s="108"/>
      <c r="T9" s="108"/>
      <c r="U9" s="106"/>
      <c r="V9" s="5"/>
      <c r="W9" s="5"/>
      <c r="X9" s="106"/>
      <c r="Y9" s="5"/>
      <c r="Z9" s="5"/>
      <c r="AA9" s="106"/>
      <c r="AB9" s="5"/>
      <c r="AC9" s="5"/>
      <c r="AD9" s="5"/>
      <c r="AE9" s="5"/>
      <c r="AF9" s="5"/>
      <c r="AG9" s="5"/>
      <c r="AH9" s="5"/>
      <c r="AI9" s="5"/>
      <c r="AJ9" s="237" t="s">
        <v>251</v>
      </c>
      <c r="AK9" s="238"/>
      <c r="AL9" s="238"/>
      <c r="AM9" s="238"/>
      <c r="AN9" s="238"/>
      <c r="AO9" s="238"/>
    </row>
    <row r="10" spans="1:44" s="4" customFormat="1" ht="214.5" customHeight="1" collapsed="1" x14ac:dyDescent="0.5">
      <c r="B10" s="242" t="s">
        <v>49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</row>
    <row r="11" spans="1:44" s="4" customFormat="1" ht="36.75" customHeight="1" x14ac:dyDescent="0.45">
      <c r="B11" s="239" t="s">
        <v>65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</row>
    <row r="12" spans="1:44" s="4" customFormat="1" ht="38.25" customHeight="1" x14ac:dyDescent="0.45">
      <c r="B12" s="241" t="s">
        <v>282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</row>
    <row r="13" spans="1:44" s="4" customFormat="1" ht="39.75" customHeight="1" x14ac:dyDescent="0.3">
      <c r="D13" s="10"/>
      <c r="E13" s="10"/>
      <c r="F13" s="109"/>
      <c r="G13" s="10"/>
      <c r="H13" s="10"/>
      <c r="I13" s="109"/>
      <c r="J13" s="10"/>
      <c r="K13" s="10"/>
      <c r="L13" s="109"/>
      <c r="M13" s="10"/>
      <c r="N13" s="10"/>
      <c r="O13" s="109"/>
      <c r="P13" s="10"/>
      <c r="Q13" s="10"/>
      <c r="R13" s="110"/>
      <c r="S13" s="10"/>
      <c r="T13" s="10"/>
      <c r="U13" s="109"/>
      <c r="V13" s="10"/>
      <c r="W13" s="10"/>
      <c r="X13" s="109"/>
      <c r="Y13" s="10"/>
      <c r="Z13" s="10"/>
      <c r="AA13" s="109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</row>
    <row r="14" spans="1:44" s="11" customFormat="1" ht="16.5" customHeight="1" x14ac:dyDescent="0.2">
      <c r="A14" s="231"/>
      <c r="B14" s="231" t="s">
        <v>3</v>
      </c>
      <c r="C14" s="231" t="s">
        <v>4</v>
      </c>
      <c r="D14" s="232" t="s">
        <v>5</v>
      </c>
      <c r="E14" s="232"/>
      <c r="F14" s="232"/>
      <c r="G14" s="232" t="s">
        <v>6</v>
      </c>
      <c r="H14" s="232"/>
      <c r="I14" s="232"/>
      <c r="J14" s="232" t="s">
        <v>7</v>
      </c>
      <c r="K14" s="232"/>
      <c r="L14" s="232"/>
      <c r="M14" s="232" t="s">
        <v>8</v>
      </c>
      <c r="N14" s="232"/>
      <c r="O14" s="232"/>
      <c r="P14" s="232" t="s">
        <v>9</v>
      </c>
      <c r="Q14" s="232"/>
      <c r="R14" s="232"/>
      <c r="S14" s="232" t="s">
        <v>10</v>
      </c>
      <c r="T14" s="232"/>
      <c r="U14" s="232"/>
      <c r="V14" s="232" t="s">
        <v>11</v>
      </c>
      <c r="W14" s="232"/>
      <c r="X14" s="232"/>
      <c r="Y14" s="232" t="s">
        <v>12</v>
      </c>
      <c r="Z14" s="232"/>
      <c r="AA14" s="232"/>
      <c r="AB14" s="232" t="s">
        <v>13</v>
      </c>
      <c r="AC14" s="232"/>
      <c r="AD14" s="232"/>
      <c r="AE14" s="232" t="s">
        <v>14</v>
      </c>
      <c r="AF14" s="232"/>
      <c r="AG14" s="232"/>
      <c r="AH14" s="232" t="s">
        <v>15</v>
      </c>
      <c r="AI14" s="232"/>
      <c r="AJ14" s="232"/>
      <c r="AK14" s="232" t="s">
        <v>16</v>
      </c>
      <c r="AL14" s="232"/>
      <c r="AM14" s="232"/>
      <c r="AN14" s="232" t="s">
        <v>296</v>
      </c>
      <c r="AO14" s="232"/>
      <c r="AR14" s="11" t="s">
        <v>279</v>
      </c>
    </row>
    <row r="15" spans="1:44" s="11" customFormat="1" ht="36.75" customHeight="1" x14ac:dyDescent="0.2">
      <c r="A15" s="231"/>
      <c r="B15" s="231"/>
      <c r="C15" s="231"/>
      <c r="D15" s="111" t="s">
        <v>17</v>
      </c>
      <c r="E15" s="169" t="s">
        <v>77</v>
      </c>
      <c r="F15" s="112" t="s">
        <v>18</v>
      </c>
      <c r="G15" s="169" t="s">
        <v>17</v>
      </c>
      <c r="H15" s="169" t="s">
        <v>77</v>
      </c>
      <c r="I15" s="112" t="s">
        <v>18</v>
      </c>
      <c r="J15" s="169" t="s">
        <v>17</v>
      </c>
      <c r="K15" s="169" t="s">
        <v>77</v>
      </c>
      <c r="L15" s="112" t="s">
        <v>18</v>
      </c>
      <c r="M15" s="169" t="s">
        <v>17</v>
      </c>
      <c r="N15" s="169" t="s">
        <v>77</v>
      </c>
      <c r="O15" s="112" t="s">
        <v>18</v>
      </c>
      <c r="P15" s="169" t="s">
        <v>17</v>
      </c>
      <c r="Q15" s="169" t="s">
        <v>77</v>
      </c>
      <c r="R15" s="112" t="s">
        <v>18</v>
      </c>
      <c r="S15" s="169" t="s">
        <v>17</v>
      </c>
      <c r="T15" s="169" t="s">
        <v>77</v>
      </c>
      <c r="U15" s="112" t="s">
        <v>18</v>
      </c>
      <c r="V15" s="169" t="s">
        <v>17</v>
      </c>
      <c r="W15" s="169" t="s">
        <v>77</v>
      </c>
      <c r="X15" s="112" t="s">
        <v>18</v>
      </c>
      <c r="Y15" s="169" t="s">
        <v>17</v>
      </c>
      <c r="Z15" s="169" t="s">
        <v>77</v>
      </c>
      <c r="AA15" s="112" t="s">
        <v>18</v>
      </c>
      <c r="AB15" s="169" t="s">
        <v>17</v>
      </c>
      <c r="AC15" s="169" t="s">
        <v>77</v>
      </c>
      <c r="AD15" s="169" t="s">
        <v>18</v>
      </c>
      <c r="AE15" s="169" t="s">
        <v>17</v>
      </c>
      <c r="AF15" s="169" t="s">
        <v>77</v>
      </c>
      <c r="AG15" s="169" t="s">
        <v>18</v>
      </c>
      <c r="AH15" s="169" t="s">
        <v>17</v>
      </c>
      <c r="AI15" s="169" t="s">
        <v>77</v>
      </c>
      <c r="AJ15" s="169" t="s">
        <v>18</v>
      </c>
      <c r="AK15" s="169" t="s">
        <v>17</v>
      </c>
      <c r="AL15" s="169" t="s">
        <v>77</v>
      </c>
      <c r="AM15" s="169" t="s">
        <v>18</v>
      </c>
      <c r="AN15" s="169" t="s">
        <v>17</v>
      </c>
      <c r="AO15" s="169" t="s">
        <v>18</v>
      </c>
    </row>
    <row r="16" spans="1:44" s="12" customFormat="1" ht="18.75" customHeight="1" x14ac:dyDescent="0.2">
      <c r="A16" s="173"/>
      <c r="B16" s="173">
        <v>1</v>
      </c>
      <c r="C16" s="173">
        <v>2</v>
      </c>
      <c r="D16" s="113">
        <v>2</v>
      </c>
      <c r="E16" s="72"/>
      <c r="F16" s="72">
        <v>3</v>
      </c>
      <c r="G16" s="72">
        <v>4</v>
      </c>
      <c r="H16" s="72"/>
      <c r="I16" s="72">
        <v>5</v>
      </c>
      <c r="J16" s="72">
        <v>6</v>
      </c>
      <c r="K16" s="72"/>
      <c r="L16" s="72">
        <v>7</v>
      </c>
      <c r="M16" s="72">
        <v>8</v>
      </c>
      <c r="N16" s="72"/>
      <c r="O16" s="72">
        <v>9</v>
      </c>
      <c r="P16" s="72">
        <v>10</v>
      </c>
      <c r="Q16" s="72"/>
      <c r="R16" s="72">
        <v>11</v>
      </c>
      <c r="S16" s="72">
        <v>12</v>
      </c>
      <c r="T16" s="72"/>
      <c r="U16" s="72">
        <v>13</v>
      </c>
      <c r="V16" s="72">
        <v>14</v>
      </c>
      <c r="W16" s="72"/>
      <c r="X16" s="72">
        <v>15</v>
      </c>
      <c r="Y16" s="72">
        <v>16</v>
      </c>
      <c r="Z16" s="72"/>
      <c r="AA16" s="72">
        <v>17</v>
      </c>
      <c r="AB16" s="72">
        <v>18</v>
      </c>
      <c r="AC16" s="72"/>
      <c r="AD16" s="72">
        <v>19</v>
      </c>
      <c r="AE16" s="72">
        <v>20</v>
      </c>
      <c r="AF16" s="72"/>
      <c r="AG16" s="72">
        <v>21</v>
      </c>
      <c r="AH16" s="72">
        <v>22</v>
      </c>
      <c r="AI16" s="72"/>
      <c r="AJ16" s="72">
        <v>23</v>
      </c>
      <c r="AK16" s="72">
        <v>24</v>
      </c>
      <c r="AL16" s="72"/>
      <c r="AM16" s="72">
        <v>25</v>
      </c>
      <c r="AN16" s="72">
        <v>26</v>
      </c>
      <c r="AO16" s="72">
        <v>27</v>
      </c>
    </row>
    <row r="17" spans="1:45" s="13" customFormat="1" ht="69" customHeight="1" x14ac:dyDescent="0.2">
      <c r="A17" s="75">
        <v>1</v>
      </c>
      <c r="B17" s="73" t="s">
        <v>60</v>
      </c>
      <c r="C17" s="74" t="s">
        <v>280</v>
      </c>
      <c r="D17" s="193">
        <v>18.760000000000002</v>
      </c>
      <c r="E17" s="194">
        <v>12.783300000000001</v>
      </c>
      <c r="F17" s="193">
        <f>ROUND((D17*E17),3)</f>
        <v>239.815</v>
      </c>
      <c r="G17" s="193">
        <v>18.88</v>
      </c>
      <c r="H17" s="194">
        <v>12.783326134934383</v>
      </c>
      <c r="I17" s="193">
        <f>ROUND((G17*H17),3)</f>
        <v>241.34899999999999</v>
      </c>
      <c r="J17" s="193">
        <v>21.61</v>
      </c>
      <c r="K17" s="194">
        <v>12.783326134934383</v>
      </c>
      <c r="L17" s="193">
        <f>ROUND((J17*K17),3)</f>
        <v>276.24799999999999</v>
      </c>
      <c r="M17" s="193">
        <v>16.989999999999998</v>
      </c>
      <c r="N17" s="194">
        <v>12.783326134934383</v>
      </c>
      <c r="O17" s="193">
        <f>ROUND((M17*N17),3)</f>
        <v>217.18899999999999</v>
      </c>
      <c r="P17" s="193">
        <v>18.98</v>
      </c>
      <c r="Q17" s="194">
        <v>12.783326134934383</v>
      </c>
      <c r="R17" s="193">
        <f>ROUND((P17*Q17),3)</f>
        <v>242.62799999999999</v>
      </c>
      <c r="S17" s="193">
        <v>29.91</v>
      </c>
      <c r="T17" s="194">
        <v>12.783326134934383</v>
      </c>
      <c r="U17" s="193">
        <f>ROUND((S17*T17),3)</f>
        <v>382.34899999999999</v>
      </c>
      <c r="V17" s="193">
        <v>30.03</v>
      </c>
      <c r="W17" s="195">
        <v>14.3301</v>
      </c>
      <c r="X17" s="193">
        <f>ROUND((V17*W17),3)</f>
        <v>430.33300000000003</v>
      </c>
      <c r="Y17" s="193">
        <v>39.28</v>
      </c>
      <c r="Z17" s="195">
        <v>14.3301</v>
      </c>
      <c r="AA17" s="193">
        <f>ROUND((Y17*Z17),3)</f>
        <v>562.88599999999997</v>
      </c>
      <c r="AB17" s="193">
        <v>20.95</v>
      </c>
      <c r="AC17" s="195">
        <v>14.3301</v>
      </c>
      <c r="AD17" s="193">
        <f>ROUND((AB17*AC17),3)</f>
        <v>300.21600000000001</v>
      </c>
      <c r="AE17" s="193">
        <v>18.809999999999999</v>
      </c>
      <c r="AF17" s="195">
        <v>14.3301</v>
      </c>
      <c r="AG17" s="193">
        <f>ROUND((AE17*AF17),3)</f>
        <v>269.54899999999998</v>
      </c>
      <c r="AH17" s="193">
        <v>18.600000000000001</v>
      </c>
      <c r="AI17" s="195">
        <v>14.3301</v>
      </c>
      <c r="AJ17" s="193">
        <f>ROUND((AH17*AI17),3)</f>
        <v>266.54000000000002</v>
      </c>
      <c r="AK17" s="193">
        <v>19.989999999999998</v>
      </c>
      <c r="AL17" s="195">
        <v>14.3301</v>
      </c>
      <c r="AM17" s="193">
        <f>ROUND((AK17*AL17),3)</f>
        <v>286.459</v>
      </c>
      <c r="AN17" s="193">
        <f>D17+G17+J17+M17+P17+S17+V17+Y17+AB17+AE17+AH17+AK17</f>
        <v>272.78999999999996</v>
      </c>
      <c r="AO17" s="193">
        <f t="shared" ref="AO17:AO23" si="0">F17+I17+L17+O17+R17+U17+X17+AA17+AD17+AG17+AJ17+AM17</f>
        <v>3715.5609999999997</v>
      </c>
      <c r="AR17" s="84">
        <v>272151.7</v>
      </c>
      <c r="AS17" s="14">
        <f>AN17-AR17</f>
        <v>-271878.91000000003</v>
      </c>
    </row>
    <row r="18" spans="1:45" s="13" customFormat="1" ht="68.25" customHeight="1" x14ac:dyDescent="0.2">
      <c r="A18" s="75">
        <v>2</v>
      </c>
      <c r="B18" s="73" t="s">
        <v>55</v>
      </c>
      <c r="C18" s="74" t="s">
        <v>280</v>
      </c>
      <c r="D18" s="193">
        <v>0.57299999999999995</v>
      </c>
      <c r="E18" s="193">
        <v>14.9557</v>
      </c>
      <c r="F18" s="193">
        <f>ROUND((D18*E18),3)</f>
        <v>8.57</v>
      </c>
      <c r="G18" s="193">
        <v>0.621</v>
      </c>
      <c r="H18" s="193">
        <v>14.9557</v>
      </c>
      <c r="I18" s="193">
        <f>ROUND((G18*H18),3)</f>
        <v>9.2870000000000008</v>
      </c>
      <c r="J18" s="193">
        <v>0.82599999999999996</v>
      </c>
      <c r="K18" s="193">
        <v>14.9557</v>
      </c>
      <c r="L18" s="193">
        <f>ROUND((J18*K18),3)</f>
        <v>12.353</v>
      </c>
      <c r="M18" s="193">
        <v>0.69499999999999995</v>
      </c>
      <c r="N18" s="193">
        <v>14.9557</v>
      </c>
      <c r="O18" s="193">
        <f>ROUND((M18*N18),3)</f>
        <v>10.394</v>
      </c>
      <c r="P18" s="193">
        <v>0.81799999999999995</v>
      </c>
      <c r="Q18" s="193">
        <v>14.9557</v>
      </c>
      <c r="R18" s="193">
        <f>ROUND((P18*Q18),3)</f>
        <v>12.234</v>
      </c>
      <c r="S18" s="193">
        <v>0.626</v>
      </c>
      <c r="T18" s="193">
        <v>14.9557</v>
      </c>
      <c r="U18" s="193">
        <f>ROUND((S18*T18),3)</f>
        <v>9.3620000000000001</v>
      </c>
      <c r="V18" s="193">
        <v>0.68100000000000005</v>
      </c>
      <c r="W18" s="195">
        <v>16.7654</v>
      </c>
      <c r="X18" s="193">
        <f>ROUND((V18*W18),3)</f>
        <v>11.417</v>
      </c>
      <c r="Y18" s="193">
        <v>0.86699999999999999</v>
      </c>
      <c r="Z18" s="195">
        <v>16.7654</v>
      </c>
      <c r="AA18" s="193">
        <f>ROUND((Y18*Z18),3)</f>
        <v>14.536</v>
      </c>
      <c r="AB18" s="193">
        <v>0.621</v>
      </c>
      <c r="AC18" s="195">
        <v>16.7654</v>
      </c>
      <c r="AD18" s="193">
        <f>ROUND((AB18*AC18),3)</f>
        <v>10.411</v>
      </c>
      <c r="AE18" s="193">
        <v>0.63400000000000001</v>
      </c>
      <c r="AF18" s="195">
        <v>16.7654</v>
      </c>
      <c r="AG18" s="193">
        <f>ROUND((AE18*AF18),3)</f>
        <v>10.629</v>
      </c>
      <c r="AH18" s="193">
        <v>0.69399999999999995</v>
      </c>
      <c r="AI18" s="195">
        <v>16.7654</v>
      </c>
      <c r="AJ18" s="193">
        <f>ROUND((AH18*AI18),3)</f>
        <v>11.635</v>
      </c>
      <c r="AK18" s="193">
        <v>0.52200000000000002</v>
      </c>
      <c r="AL18" s="195">
        <v>16.7654</v>
      </c>
      <c r="AM18" s="193">
        <f>ROUND((AK18*AL18),3)</f>
        <v>8.7520000000000007</v>
      </c>
      <c r="AN18" s="193">
        <f t="shared" ref="AN18:AN81" si="1">D18+G18+J18+M18+P18+S18+V18+Y18+AB18+AE18+AH18+AK18</f>
        <v>8.177999999999999</v>
      </c>
      <c r="AO18" s="193">
        <f t="shared" si="0"/>
        <v>129.58000000000001</v>
      </c>
      <c r="AR18" s="13">
        <v>8.2680000000000007</v>
      </c>
      <c r="AS18" s="14">
        <f>AN18-AR18</f>
        <v>-9.0000000000001634E-2</v>
      </c>
    </row>
    <row r="19" spans="1:45" s="13" customFormat="1" ht="123.75" customHeight="1" x14ac:dyDescent="0.2">
      <c r="A19" s="75">
        <v>3</v>
      </c>
      <c r="B19" s="73" t="s">
        <v>51</v>
      </c>
      <c r="C19" s="74"/>
      <c r="D19" s="193">
        <f>SUM(D20:D85)</f>
        <v>397.34499999999991</v>
      </c>
      <c r="E19" s="193"/>
      <c r="F19" s="193">
        <f>ROUND(SUM(F20:F85),3)</f>
        <v>5653.473</v>
      </c>
      <c r="G19" s="193">
        <f>ROUND(SUM(G20:G85),3)</f>
        <v>364.315</v>
      </c>
      <c r="H19" s="193"/>
      <c r="I19" s="193">
        <f>ROUND(SUM(I20:I85),3)</f>
        <v>5157.3490000000002</v>
      </c>
      <c r="J19" s="193">
        <f>ROUND(SUM(J20:J85),3)</f>
        <v>333.39100000000002</v>
      </c>
      <c r="K19" s="193"/>
      <c r="L19" s="193">
        <f>ROUND(SUM(L20:L85),3)</f>
        <v>4705.8249999999998</v>
      </c>
      <c r="M19" s="193">
        <f>ROUND(SUM(M20:M85),3)</f>
        <v>295.39299999999997</v>
      </c>
      <c r="N19" s="193"/>
      <c r="O19" s="193">
        <f t="shared" ref="O19:AM19" si="2">ROUND(SUM(O20:O85),3)</f>
        <v>4156.5079999999998</v>
      </c>
      <c r="P19" s="193">
        <f t="shared" si="2"/>
        <v>235.57499999999999</v>
      </c>
      <c r="Q19" s="193"/>
      <c r="R19" s="193">
        <f t="shared" si="2"/>
        <v>3286.9549999999999</v>
      </c>
      <c r="S19" s="193">
        <f t="shared" si="2"/>
        <v>221.917</v>
      </c>
      <c r="T19" s="193"/>
      <c r="U19" s="193">
        <f t="shared" si="2"/>
        <v>3088.9830000000002</v>
      </c>
      <c r="V19" s="193">
        <f t="shared" si="2"/>
        <v>200.23</v>
      </c>
      <c r="W19" s="193"/>
      <c r="X19" s="193">
        <f t="shared" si="2"/>
        <v>3106.547</v>
      </c>
      <c r="Y19" s="193">
        <f t="shared" si="2"/>
        <v>241.29900000000001</v>
      </c>
      <c r="Z19" s="193"/>
      <c r="AA19" s="193">
        <f t="shared" si="2"/>
        <v>3735.1529999999998</v>
      </c>
      <c r="AB19" s="193">
        <f t="shared" si="2"/>
        <v>275.81299999999999</v>
      </c>
      <c r="AC19" s="193"/>
      <c r="AD19" s="193">
        <f t="shared" si="2"/>
        <v>4338.0320000000002</v>
      </c>
      <c r="AE19" s="193">
        <f t="shared" si="2"/>
        <v>306.822</v>
      </c>
      <c r="AF19" s="193"/>
      <c r="AG19" s="193">
        <f t="shared" si="2"/>
        <v>4820.9129999999996</v>
      </c>
      <c r="AH19" s="193">
        <f t="shared" si="2"/>
        <v>343.77499999999998</v>
      </c>
      <c r="AI19" s="193"/>
      <c r="AJ19" s="193">
        <f t="shared" si="2"/>
        <v>5421.1940000000004</v>
      </c>
      <c r="AK19" s="193">
        <f t="shared" si="2"/>
        <v>373.73700000000002</v>
      </c>
      <c r="AL19" s="193"/>
      <c r="AM19" s="193">
        <f t="shared" si="2"/>
        <v>5921.7939999999999</v>
      </c>
      <c r="AN19" s="193">
        <f t="shared" si="1"/>
        <v>3589.6120000000001</v>
      </c>
      <c r="AO19" s="193">
        <f t="shared" si="0"/>
        <v>53392.726000000002</v>
      </c>
      <c r="AR19" s="13">
        <v>3064.172</v>
      </c>
    </row>
    <row r="20" spans="1:45" ht="57" customHeight="1" x14ac:dyDescent="0.2">
      <c r="A20" s="75" t="s">
        <v>147</v>
      </c>
      <c r="B20" s="85" t="s">
        <v>339</v>
      </c>
      <c r="C20" s="74" t="s">
        <v>280</v>
      </c>
      <c r="D20" s="193">
        <v>3.1349999999999998</v>
      </c>
      <c r="E20" s="193">
        <v>14.9557</v>
      </c>
      <c r="F20" s="193">
        <f>ROUND((D20*E20),3)</f>
        <v>46.886000000000003</v>
      </c>
      <c r="G20" s="193">
        <v>3.4489999999999998</v>
      </c>
      <c r="H20" s="193">
        <v>14.9557</v>
      </c>
      <c r="I20" s="193">
        <f>ROUND((G20*H20),3)</f>
        <v>51.582000000000001</v>
      </c>
      <c r="J20" s="196">
        <v>4.1680000000000001</v>
      </c>
      <c r="K20" s="193">
        <v>14.9557</v>
      </c>
      <c r="L20" s="193">
        <f>ROUND((J20*K20),3)</f>
        <v>62.335000000000001</v>
      </c>
      <c r="M20" s="197">
        <v>3.5569999999999999</v>
      </c>
      <c r="N20" s="193">
        <v>14.9557</v>
      </c>
      <c r="O20" s="193">
        <f>ROUND((M20*N20),3)</f>
        <v>53.197000000000003</v>
      </c>
      <c r="P20" s="197">
        <v>3.016</v>
      </c>
      <c r="Q20" s="193">
        <v>14.9557</v>
      </c>
      <c r="R20" s="193">
        <f>ROUND((P20*Q20),3)</f>
        <v>45.106000000000002</v>
      </c>
      <c r="S20" s="193">
        <v>2.5099999999999998</v>
      </c>
      <c r="T20" s="193">
        <v>14.9557</v>
      </c>
      <c r="U20" s="193">
        <f>ROUND((S20*T20),3)</f>
        <v>37.539000000000001</v>
      </c>
      <c r="V20" s="198">
        <v>4.4240000000000004</v>
      </c>
      <c r="W20" s="195">
        <v>16.7654</v>
      </c>
      <c r="X20" s="193">
        <f>ROUND((V20*W20),3)</f>
        <v>74.17</v>
      </c>
      <c r="Y20" s="197">
        <v>4.7729999999999997</v>
      </c>
      <c r="Z20" s="195">
        <v>16.7654</v>
      </c>
      <c r="AA20" s="193">
        <f>ROUND((Y20*Z20),3)</f>
        <v>80.021000000000001</v>
      </c>
      <c r="AB20" s="193">
        <v>4.1909999999999998</v>
      </c>
      <c r="AC20" s="195">
        <v>16.7654</v>
      </c>
      <c r="AD20" s="193">
        <f>ROUND((AB20*AC20),3)</f>
        <v>70.263999999999996</v>
      </c>
      <c r="AE20" s="193">
        <v>4.524</v>
      </c>
      <c r="AF20" s="195">
        <v>16.7654</v>
      </c>
      <c r="AG20" s="193">
        <f>ROUND((AE20*AF20),3)</f>
        <v>75.846999999999994</v>
      </c>
      <c r="AH20" s="198">
        <v>3.8050000000000002</v>
      </c>
      <c r="AI20" s="195">
        <v>16.7654</v>
      </c>
      <c r="AJ20" s="193">
        <f>ROUND((AH20*AI20),3)</f>
        <v>63.792000000000002</v>
      </c>
      <c r="AK20" s="193">
        <v>3.6779999999999999</v>
      </c>
      <c r="AL20" s="195">
        <v>16.7654</v>
      </c>
      <c r="AM20" s="193">
        <f>ROUND((AK20*AL20),3)</f>
        <v>61.662999999999997</v>
      </c>
      <c r="AN20" s="193">
        <f t="shared" si="1"/>
        <v>45.23</v>
      </c>
      <c r="AO20" s="193">
        <f t="shared" si="0"/>
        <v>722.40200000000004</v>
      </c>
      <c r="AP20" s="192"/>
      <c r="AR20" s="15">
        <v>42.910000000000011</v>
      </c>
      <c r="AS20" s="14">
        <f t="shared" ref="AS20:AS50" si="3">AN20-AR20</f>
        <v>2.3199999999999861</v>
      </c>
    </row>
    <row r="21" spans="1:45" ht="36" customHeight="1" x14ac:dyDescent="0.2">
      <c r="A21" s="75" t="s">
        <v>148</v>
      </c>
      <c r="B21" s="85" t="s">
        <v>397</v>
      </c>
      <c r="C21" s="74" t="s">
        <v>280</v>
      </c>
      <c r="D21" s="193">
        <v>18.001999999999999</v>
      </c>
      <c r="E21" s="193">
        <v>12.9605</v>
      </c>
      <c r="F21" s="193">
        <f>ROUND((D21*E21),3)</f>
        <v>233.315</v>
      </c>
      <c r="G21" s="193">
        <f>9.797+1.692+3.698</f>
        <v>15.187000000000001</v>
      </c>
      <c r="H21" s="193">
        <v>12.9605</v>
      </c>
      <c r="I21" s="193">
        <f>ROUND((G21*H21),3)</f>
        <v>196.83099999999999</v>
      </c>
      <c r="J21" s="196">
        <v>16.266999999999999</v>
      </c>
      <c r="K21" s="193">
        <v>12.9605</v>
      </c>
      <c r="L21" s="193">
        <f>ROUND((J21*K21),3)</f>
        <v>210.828</v>
      </c>
      <c r="M21" s="197">
        <f>5.342+1.662+3.918</f>
        <v>10.922000000000001</v>
      </c>
      <c r="N21" s="193">
        <v>12.9605</v>
      </c>
      <c r="O21" s="193">
        <f>ROUND((M21*N21),3)</f>
        <v>141.55500000000001</v>
      </c>
      <c r="P21" s="197">
        <f>1+1.452+3.478</f>
        <v>5.93</v>
      </c>
      <c r="Q21" s="193">
        <v>12.9605</v>
      </c>
      <c r="R21" s="193">
        <f>ROUND((P21*Q21),3)</f>
        <v>76.855999999999995</v>
      </c>
      <c r="S21" s="193">
        <f>0.852+1.582+3.098</f>
        <v>5.532</v>
      </c>
      <c r="T21" s="193">
        <v>12.9605</v>
      </c>
      <c r="U21" s="193">
        <f>ROUND((S21*T21),3)</f>
        <v>71.697000000000003</v>
      </c>
      <c r="V21" s="198">
        <f>0.652+3.531+3.978</f>
        <v>8.1609999999999996</v>
      </c>
      <c r="W21" s="195">
        <v>14.528700000000001</v>
      </c>
      <c r="X21" s="193">
        <f>ROUND((V21*W21),3)</f>
        <v>118.569</v>
      </c>
      <c r="Y21" s="197">
        <f>0.948+4.672+3.298</f>
        <v>8.9179999999999993</v>
      </c>
      <c r="Z21" s="195">
        <v>14.528700000000001</v>
      </c>
      <c r="AA21" s="193">
        <f>ROUND((Y21*Z21),3)</f>
        <v>129.56700000000001</v>
      </c>
      <c r="AB21" s="193">
        <f>1.035+2.808+3.218</f>
        <v>7.0609999999999999</v>
      </c>
      <c r="AC21" s="195">
        <v>14.528700000000001</v>
      </c>
      <c r="AD21" s="193">
        <f>ROUND((AB21*AC21),3)</f>
        <v>102.587</v>
      </c>
      <c r="AE21" s="193">
        <f>2.841+1.839+3.638</f>
        <v>8.3179999999999996</v>
      </c>
      <c r="AF21" s="195">
        <v>14.528700000000001</v>
      </c>
      <c r="AG21" s="193">
        <f>ROUND((AE21*AF21),3)</f>
        <v>120.85</v>
      </c>
      <c r="AH21" s="198">
        <f>7.899+1.992+3.738</f>
        <v>13.629</v>
      </c>
      <c r="AI21" s="195">
        <v>14.528700000000001</v>
      </c>
      <c r="AJ21" s="193">
        <f>ROUND((AH21*AI21),3)</f>
        <v>198.012</v>
      </c>
      <c r="AK21" s="193">
        <f>7.619+2.725+3.438</f>
        <v>13.782</v>
      </c>
      <c r="AL21" s="195">
        <v>14.528700000000001</v>
      </c>
      <c r="AM21" s="193">
        <f>ROUND((AK21*AL21),3)</f>
        <v>200.23500000000001</v>
      </c>
      <c r="AN21" s="193">
        <f t="shared" si="1"/>
        <v>131.709</v>
      </c>
      <c r="AO21" s="193">
        <f t="shared" si="0"/>
        <v>1800.902</v>
      </c>
      <c r="AR21" s="15">
        <v>133.62100000000001</v>
      </c>
      <c r="AS21" s="14">
        <f t="shared" si="3"/>
        <v>-1.9120000000000061</v>
      </c>
    </row>
    <row r="22" spans="1:45" ht="35.25" customHeight="1" x14ac:dyDescent="0.2">
      <c r="A22" s="75" t="s">
        <v>156</v>
      </c>
      <c r="B22" s="85" t="s">
        <v>103</v>
      </c>
      <c r="C22" s="74" t="s">
        <v>280</v>
      </c>
      <c r="D22" s="193">
        <v>5.3949999999999996</v>
      </c>
      <c r="E22" s="193">
        <v>14.9557</v>
      </c>
      <c r="F22" s="193">
        <f t="shared" ref="F22:F83" si="4">ROUND((D22*E22),3)</f>
        <v>80.686000000000007</v>
      </c>
      <c r="G22" s="193">
        <v>4.7990000000000004</v>
      </c>
      <c r="H22" s="193">
        <v>14.9557</v>
      </c>
      <c r="I22" s="193">
        <f t="shared" ref="I22:I83" si="5">ROUND((G22*H22),3)</f>
        <v>71.772000000000006</v>
      </c>
      <c r="J22" s="196">
        <v>5.492</v>
      </c>
      <c r="K22" s="193">
        <v>14.9557</v>
      </c>
      <c r="L22" s="193">
        <f t="shared" ref="L22:L83" si="6">ROUND((J22*K22),3)</f>
        <v>82.137</v>
      </c>
      <c r="M22" s="197">
        <v>5.7119999999999997</v>
      </c>
      <c r="N22" s="193">
        <v>14.9557</v>
      </c>
      <c r="O22" s="193">
        <f t="shared" ref="O22:O83" si="7">ROUND((M22*N22),3)</f>
        <v>85.427000000000007</v>
      </c>
      <c r="P22" s="197">
        <v>5.0190000000000001</v>
      </c>
      <c r="Q22" s="193">
        <v>14.9557</v>
      </c>
      <c r="R22" s="193">
        <f t="shared" ref="R22:R83" si="8">ROUND((P22*Q22),3)</f>
        <v>75.063000000000002</v>
      </c>
      <c r="S22" s="193">
        <v>3.6720000000000002</v>
      </c>
      <c r="T22" s="193">
        <v>14.9557</v>
      </c>
      <c r="U22" s="193">
        <f t="shared" ref="U22:U83" si="9">ROUND((S22*T22),3)</f>
        <v>54.917000000000002</v>
      </c>
      <c r="V22" s="198">
        <v>5.4989999999999997</v>
      </c>
      <c r="W22" s="195">
        <v>16.7654</v>
      </c>
      <c r="X22" s="193">
        <f t="shared" ref="X22:X83" si="10">ROUND((V22*W22),3)</f>
        <v>92.192999999999998</v>
      </c>
      <c r="Y22" s="197">
        <v>4.415</v>
      </c>
      <c r="Z22" s="195">
        <v>16.7654</v>
      </c>
      <c r="AA22" s="193">
        <f t="shared" ref="AA22:AA83" si="11">ROUND((Y22*Z22),3)</f>
        <v>74.019000000000005</v>
      </c>
      <c r="AB22" s="193">
        <v>3.7869999999999999</v>
      </c>
      <c r="AC22" s="195">
        <v>16.7654</v>
      </c>
      <c r="AD22" s="193">
        <f t="shared" ref="AD22:AD83" si="12">ROUND((AB22*AC22),3)</f>
        <v>63.491</v>
      </c>
      <c r="AE22" s="193">
        <f>5.121</f>
        <v>5.1210000000000004</v>
      </c>
      <c r="AF22" s="195">
        <v>16.7654</v>
      </c>
      <c r="AG22" s="193">
        <f t="shared" ref="AG22:AG83" si="13">ROUND((AE22*AF22),3)</f>
        <v>85.855999999999995</v>
      </c>
      <c r="AH22" s="198">
        <v>5.6740000000000004</v>
      </c>
      <c r="AI22" s="195">
        <v>16.7654</v>
      </c>
      <c r="AJ22" s="193">
        <f t="shared" ref="AJ22:AJ83" si="14">ROUND((AH22*AI22),3)</f>
        <v>95.126999999999995</v>
      </c>
      <c r="AK22" s="193">
        <v>5.8010000000000002</v>
      </c>
      <c r="AL22" s="195">
        <v>16.7654</v>
      </c>
      <c r="AM22" s="193">
        <f t="shared" ref="AM22:AM83" si="15">ROUND((AK22*AL22),3)</f>
        <v>97.256</v>
      </c>
      <c r="AN22" s="193">
        <f t="shared" si="1"/>
        <v>60.386000000000003</v>
      </c>
      <c r="AO22" s="193">
        <f t="shared" si="0"/>
        <v>957.94399999999996</v>
      </c>
      <c r="AR22" s="15">
        <v>60.216999999999992</v>
      </c>
      <c r="AS22" s="14">
        <f t="shared" si="3"/>
        <v>0.16900000000001114</v>
      </c>
    </row>
    <row r="23" spans="1:45" ht="36" customHeight="1" x14ac:dyDescent="0.2">
      <c r="A23" s="75" t="s">
        <v>157</v>
      </c>
      <c r="B23" s="85" t="s">
        <v>341</v>
      </c>
      <c r="C23" s="74" t="s">
        <v>280</v>
      </c>
      <c r="D23" s="195">
        <f>2.436+1.037</f>
        <v>3.4729999999999999</v>
      </c>
      <c r="E23" s="193">
        <v>14.9557</v>
      </c>
      <c r="F23" s="193">
        <f t="shared" si="4"/>
        <v>51.941000000000003</v>
      </c>
      <c r="G23" s="195">
        <v>2.1669999999999998</v>
      </c>
      <c r="H23" s="193">
        <v>14.9557</v>
      </c>
      <c r="I23" s="193">
        <f t="shared" si="5"/>
        <v>32.408999999999999</v>
      </c>
      <c r="J23" s="199">
        <v>1.423</v>
      </c>
      <c r="K23" s="193">
        <v>14.9557</v>
      </c>
      <c r="L23" s="193">
        <f t="shared" si="6"/>
        <v>21.282</v>
      </c>
      <c r="M23" s="200">
        <v>1.8069999999999999</v>
      </c>
      <c r="N23" s="193">
        <v>14.9557</v>
      </c>
      <c r="O23" s="193">
        <f t="shared" si="7"/>
        <v>27.024999999999999</v>
      </c>
      <c r="P23" s="200">
        <v>1.518</v>
      </c>
      <c r="Q23" s="193">
        <v>14.9557</v>
      </c>
      <c r="R23" s="193">
        <f t="shared" si="8"/>
        <v>22.702999999999999</v>
      </c>
      <c r="S23" s="195">
        <v>2.101</v>
      </c>
      <c r="T23" s="193">
        <v>14.9557</v>
      </c>
      <c r="U23" s="193">
        <f>ROUND((S23*T23),3)</f>
        <v>31.422000000000001</v>
      </c>
      <c r="V23" s="201">
        <v>2.069</v>
      </c>
      <c r="W23" s="195">
        <v>16.7654</v>
      </c>
      <c r="X23" s="193">
        <f t="shared" si="10"/>
        <v>34.688000000000002</v>
      </c>
      <c r="Y23" s="200">
        <v>2.153</v>
      </c>
      <c r="Z23" s="195">
        <v>16.7654</v>
      </c>
      <c r="AA23" s="193">
        <f t="shared" si="11"/>
        <v>36.095999999999997</v>
      </c>
      <c r="AB23" s="195">
        <v>0.94599999999999995</v>
      </c>
      <c r="AC23" s="195">
        <v>16.7654</v>
      </c>
      <c r="AD23" s="193">
        <f t="shared" si="12"/>
        <v>15.86</v>
      </c>
      <c r="AE23" s="195">
        <v>0.94599999999999995</v>
      </c>
      <c r="AF23" s="195">
        <v>16.7654</v>
      </c>
      <c r="AG23" s="193">
        <f t="shared" si="13"/>
        <v>15.86</v>
      </c>
      <c r="AH23" s="201">
        <v>0.874</v>
      </c>
      <c r="AI23" s="195">
        <v>16.7654</v>
      </c>
      <c r="AJ23" s="193">
        <f t="shared" si="14"/>
        <v>14.653</v>
      </c>
      <c r="AK23" s="195">
        <v>1.1020000000000001</v>
      </c>
      <c r="AL23" s="195">
        <v>16.7654</v>
      </c>
      <c r="AM23" s="193">
        <f t="shared" si="15"/>
        <v>18.475000000000001</v>
      </c>
      <c r="AN23" s="193">
        <f t="shared" si="1"/>
        <v>20.579000000000001</v>
      </c>
      <c r="AO23" s="193">
        <f t="shared" si="0"/>
        <v>322.41400000000004</v>
      </c>
      <c r="AR23" s="15">
        <v>19.336000000000002</v>
      </c>
      <c r="AS23" s="14">
        <f t="shared" si="3"/>
        <v>1.2429999999999986</v>
      </c>
    </row>
    <row r="24" spans="1:45" ht="34.5" customHeight="1" x14ac:dyDescent="0.2">
      <c r="A24" s="75" t="s">
        <v>158</v>
      </c>
      <c r="B24" s="85" t="s">
        <v>368</v>
      </c>
      <c r="C24" s="74" t="s">
        <v>280</v>
      </c>
      <c r="D24" s="193">
        <v>1.1399999999999999</v>
      </c>
      <c r="E24" s="193">
        <v>14.9557</v>
      </c>
      <c r="F24" s="193">
        <f t="shared" si="4"/>
        <v>17.048999999999999</v>
      </c>
      <c r="G24" s="193">
        <v>0.62</v>
      </c>
      <c r="H24" s="193">
        <v>14.9557</v>
      </c>
      <c r="I24" s="193">
        <f t="shared" si="5"/>
        <v>9.2729999999999997</v>
      </c>
      <c r="J24" s="196">
        <v>0.77</v>
      </c>
      <c r="K24" s="193">
        <v>14.9557</v>
      </c>
      <c r="L24" s="193">
        <f t="shared" si="6"/>
        <v>11.516</v>
      </c>
      <c r="M24" s="197">
        <v>0.64800000000000002</v>
      </c>
      <c r="N24" s="193">
        <v>14.9557</v>
      </c>
      <c r="O24" s="193">
        <f t="shared" si="7"/>
        <v>9.6910000000000007</v>
      </c>
      <c r="P24" s="197">
        <v>0.65</v>
      </c>
      <c r="Q24" s="193">
        <v>14.9557</v>
      </c>
      <c r="R24" s="193">
        <f t="shared" si="8"/>
        <v>9.7210000000000001</v>
      </c>
      <c r="S24" s="193">
        <v>0.45300000000000001</v>
      </c>
      <c r="T24" s="193">
        <v>14.9557</v>
      </c>
      <c r="U24" s="193">
        <f t="shared" si="9"/>
        <v>6.7750000000000004</v>
      </c>
      <c r="V24" s="198">
        <v>0.56999999999999995</v>
      </c>
      <c r="W24" s="195">
        <v>16.7654</v>
      </c>
      <c r="X24" s="193">
        <f t="shared" si="10"/>
        <v>9.5559999999999992</v>
      </c>
      <c r="Y24" s="197">
        <v>0.83</v>
      </c>
      <c r="Z24" s="195">
        <v>16.7654</v>
      </c>
      <c r="AA24" s="193">
        <f t="shared" si="11"/>
        <v>13.914999999999999</v>
      </c>
      <c r="AB24" s="193">
        <v>0.64200000000000002</v>
      </c>
      <c r="AC24" s="195">
        <v>16.7654</v>
      </c>
      <c r="AD24" s="193">
        <f t="shared" si="12"/>
        <v>10.763</v>
      </c>
      <c r="AE24" s="193">
        <v>0.875</v>
      </c>
      <c r="AF24" s="195">
        <v>16.7654</v>
      </c>
      <c r="AG24" s="193">
        <f t="shared" si="13"/>
        <v>14.67</v>
      </c>
      <c r="AH24" s="198">
        <v>0.80400000000000005</v>
      </c>
      <c r="AI24" s="195">
        <v>16.7654</v>
      </c>
      <c r="AJ24" s="193">
        <f t="shared" si="14"/>
        <v>13.478999999999999</v>
      </c>
      <c r="AK24" s="193">
        <v>1.234</v>
      </c>
      <c r="AL24" s="195">
        <v>16.7654</v>
      </c>
      <c r="AM24" s="193">
        <f t="shared" si="15"/>
        <v>20.689</v>
      </c>
      <c r="AN24" s="193">
        <f t="shared" si="1"/>
        <v>9.2360000000000007</v>
      </c>
      <c r="AO24" s="193">
        <f t="shared" ref="AO24:AO83" si="16">F24+I24+L24+O24+R24+U24+X24+AA24+AD24+AG24+AJ24+AM24</f>
        <v>147.09700000000001</v>
      </c>
      <c r="AR24" s="15">
        <v>8.84</v>
      </c>
      <c r="AS24" s="14">
        <f t="shared" si="3"/>
        <v>0.3960000000000008</v>
      </c>
    </row>
    <row r="25" spans="1:45" ht="36" customHeight="1" x14ac:dyDescent="0.2">
      <c r="A25" s="75" t="s">
        <v>159</v>
      </c>
      <c r="B25" s="85" t="s">
        <v>369</v>
      </c>
      <c r="C25" s="74" t="s">
        <v>280</v>
      </c>
      <c r="D25" s="193">
        <v>1.2090000000000001</v>
      </c>
      <c r="E25" s="193">
        <v>14.9557</v>
      </c>
      <c r="F25" s="193">
        <f t="shared" si="4"/>
        <v>18.081</v>
      </c>
      <c r="G25" s="193">
        <v>1.27</v>
      </c>
      <c r="H25" s="193">
        <v>14.9557</v>
      </c>
      <c r="I25" s="193">
        <f t="shared" si="5"/>
        <v>18.994</v>
      </c>
      <c r="J25" s="196">
        <v>1.1679999999999999</v>
      </c>
      <c r="K25" s="193">
        <v>14.9557</v>
      </c>
      <c r="L25" s="193">
        <f t="shared" si="6"/>
        <v>17.468</v>
      </c>
      <c r="M25" s="197">
        <v>1.4990000000000001</v>
      </c>
      <c r="N25" s="193">
        <v>14.9557</v>
      </c>
      <c r="O25" s="193">
        <f t="shared" si="7"/>
        <v>22.419</v>
      </c>
      <c r="P25" s="197">
        <v>1.01</v>
      </c>
      <c r="Q25" s="193">
        <v>14.9557</v>
      </c>
      <c r="R25" s="193">
        <f t="shared" si="8"/>
        <v>15.105</v>
      </c>
      <c r="S25" s="193">
        <v>2.3199999999999998</v>
      </c>
      <c r="T25" s="193">
        <v>14.9557</v>
      </c>
      <c r="U25" s="193">
        <f t="shared" si="9"/>
        <v>34.697000000000003</v>
      </c>
      <c r="V25" s="198">
        <v>2.5779999999999998</v>
      </c>
      <c r="W25" s="195">
        <v>16.7654</v>
      </c>
      <c r="X25" s="193">
        <f t="shared" si="10"/>
        <v>43.220999999999997</v>
      </c>
      <c r="Y25" s="197">
        <v>2.6349999999999998</v>
      </c>
      <c r="Z25" s="195">
        <v>16.7654</v>
      </c>
      <c r="AA25" s="193">
        <f t="shared" si="11"/>
        <v>44.177</v>
      </c>
      <c r="AB25" s="193">
        <v>2.6579999999999999</v>
      </c>
      <c r="AC25" s="195">
        <v>16.7654</v>
      </c>
      <c r="AD25" s="193">
        <f t="shared" si="12"/>
        <v>44.561999999999998</v>
      </c>
      <c r="AE25" s="193">
        <v>0.96599999999999997</v>
      </c>
      <c r="AF25" s="195">
        <v>16.7654</v>
      </c>
      <c r="AG25" s="193">
        <f t="shared" si="13"/>
        <v>16.195</v>
      </c>
      <c r="AH25" s="198">
        <v>1.196</v>
      </c>
      <c r="AI25" s="195">
        <v>16.7654</v>
      </c>
      <c r="AJ25" s="193">
        <f t="shared" si="14"/>
        <v>20.050999999999998</v>
      </c>
      <c r="AK25" s="193">
        <v>1.3460000000000001</v>
      </c>
      <c r="AL25" s="195">
        <v>16.7654</v>
      </c>
      <c r="AM25" s="193">
        <f t="shared" si="15"/>
        <v>22.565999999999999</v>
      </c>
      <c r="AN25" s="193">
        <f t="shared" si="1"/>
        <v>19.855000000000004</v>
      </c>
      <c r="AO25" s="193">
        <f t="shared" si="16"/>
        <v>317.53599999999994</v>
      </c>
      <c r="AR25" s="15">
        <v>12.577999999999998</v>
      </c>
      <c r="AS25" s="14">
        <f t="shared" si="3"/>
        <v>7.2770000000000064</v>
      </c>
    </row>
    <row r="26" spans="1:45" ht="33.75" customHeight="1" x14ac:dyDescent="0.2">
      <c r="A26" s="75" t="s">
        <v>160</v>
      </c>
      <c r="B26" s="85" t="s">
        <v>342</v>
      </c>
      <c r="C26" s="74" t="s">
        <v>280</v>
      </c>
      <c r="D26" s="193">
        <v>4.9880000000000004</v>
      </c>
      <c r="E26" s="193">
        <v>12.724</v>
      </c>
      <c r="F26" s="193">
        <f t="shared" si="4"/>
        <v>63.466999999999999</v>
      </c>
      <c r="G26" s="193">
        <v>4.8280000000000003</v>
      </c>
      <c r="H26" s="193">
        <v>12.724</v>
      </c>
      <c r="I26" s="193">
        <f t="shared" si="5"/>
        <v>61.430999999999997</v>
      </c>
      <c r="J26" s="196">
        <v>4.7080000000000002</v>
      </c>
      <c r="K26" s="193">
        <v>12.724</v>
      </c>
      <c r="L26" s="193">
        <f t="shared" si="6"/>
        <v>59.905000000000001</v>
      </c>
      <c r="M26" s="197">
        <v>4.6280000000000001</v>
      </c>
      <c r="N26" s="193">
        <v>12.724</v>
      </c>
      <c r="O26" s="193">
        <f t="shared" si="7"/>
        <v>58.887</v>
      </c>
      <c r="P26" s="197">
        <v>3.508</v>
      </c>
      <c r="Q26" s="193">
        <v>12.724</v>
      </c>
      <c r="R26" s="193">
        <f t="shared" si="8"/>
        <v>44.636000000000003</v>
      </c>
      <c r="S26" s="193">
        <v>2.468</v>
      </c>
      <c r="T26" s="193">
        <v>12.724</v>
      </c>
      <c r="U26" s="193">
        <f t="shared" si="9"/>
        <v>31.402999999999999</v>
      </c>
      <c r="V26" s="198">
        <v>2.028</v>
      </c>
      <c r="W26" s="195">
        <v>14.261799999999999</v>
      </c>
      <c r="X26" s="193">
        <f t="shared" si="10"/>
        <v>28.922999999999998</v>
      </c>
      <c r="Y26" s="197">
        <v>2.508</v>
      </c>
      <c r="Z26" s="195">
        <v>14.261799999999999</v>
      </c>
      <c r="AA26" s="193">
        <f t="shared" si="11"/>
        <v>35.768999999999998</v>
      </c>
      <c r="AB26" s="193">
        <v>2.948</v>
      </c>
      <c r="AC26" s="195">
        <v>14.261799999999999</v>
      </c>
      <c r="AD26" s="193">
        <f t="shared" si="12"/>
        <v>42.043999999999997</v>
      </c>
      <c r="AE26" s="193">
        <v>3.1080000000000001</v>
      </c>
      <c r="AF26" s="195">
        <v>14.261799999999999</v>
      </c>
      <c r="AG26" s="193">
        <f t="shared" si="13"/>
        <v>44.326000000000001</v>
      </c>
      <c r="AH26" s="198">
        <v>4.8680000000000003</v>
      </c>
      <c r="AI26" s="195">
        <v>14.261799999999999</v>
      </c>
      <c r="AJ26" s="193">
        <f t="shared" si="14"/>
        <v>69.426000000000002</v>
      </c>
      <c r="AK26" s="193">
        <v>4.3079999999999998</v>
      </c>
      <c r="AL26" s="195">
        <v>14.261799999999999</v>
      </c>
      <c r="AM26" s="193">
        <f t="shared" si="15"/>
        <v>61.44</v>
      </c>
      <c r="AN26" s="193">
        <f t="shared" si="1"/>
        <v>44.895999999999994</v>
      </c>
      <c r="AO26" s="193">
        <f t="shared" si="16"/>
        <v>601.65700000000015</v>
      </c>
      <c r="AP26" s="16"/>
      <c r="AR26" s="15">
        <v>42.776000000000003</v>
      </c>
      <c r="AS26" s="14">
        <f t="shared" si="3"/>
        <v>2.1199999999999903</v>
      </c>
    </row>
    <row r="27" spans="1:45" ht="38.25" customHeight="1" x14ac:dyDescent="0.2">
      <c r="A27" s="75" t="s">
        <v>161</v>
      </c>
      <c r="B27" s="85" t="s">
        <v>343</v>
      </c>
      <c r="C27" s="74" t="s">
        <v>280</v>
      </c>
      <c r="D27" s="193">
        <v>0.52200000000000002</v>
      </c>
      <c r="E27" s="193">
        <v>14.9557</v>
      </c>
      <c r="F27" s="193">
        <f t="shared" si="4"/>
        <v>7.8070000000000004</v>
      </c>
      <c r="G27" s="193">
        <v>0.496</v>
      </c>
      <c r="H27" s="193">
        <v>14.9557</v>
      </c>
      <c r="I27" s="193">
        <f t="shared" si="5"/>
        <v>7.4180000000000001</v>
      </c>
      <c r="J27" s="196">
        <v>0.51500000000000001</v>
      </c>
      <c r="K27" s="193">
        <v>14.9557</v>
      </c>
      <c r="L27" s="193">
        <f t="shared" si="6"/>
        <v>7.702</v>
      </c>
      <c r="M27" s="197">
        <v>0.64200000000000002</v>
      </c>
      <c r="N27" s="193">
        <v>14.9557</v>
      </c>
      <c r="O27" s="193">
        <f t="shared" si="7"/>
        <v>9.6020000000000003</v>
      </c>
      <c r="P27" s="197">
        <v>0.63119999999999998</v>
      </c>
      <c r="Q27" s="193">
        <v>14.9557</v>
      </c>
      <c r="R27" s="193">
        <f t="shared" si="8"/>
        <v>9.44</v>
      </c>
      <c r="S27" s="193">
        <v>0.8</v>
      </c>
      <c r="T27" s="193">
        <v>14.9557</v>
      </c>
      <c r="U27" s="193">
        <f t="shared" si="9"/>
        <v>11.965</v>
      </c>
      <c r="V27" s="198">
        <v>0.81399999999999995</v>
      </c>
      <c r="W27" s="195">
        <v>16.7654</v>
      </c>
      <c r="X27" s="193">
        <f t="shared" si="10"/>
        <v>13.647</v>
      </c>
      <c r="Y27" s="197">
        <v>1.19</v>
      </c>
      <c r="Z27" s="195">
        <v>16.7654</v>
      </c>
      <c r="AA27" s="193">
        <f t="shared" si="11"/>
        <v>19.951000000000001</v>
      </c>
      <c r="AB27" s="193">
        <v>0.81899999999999995</v>
      </c>
      <c r="AC27" s="195">
        <v>16.7654</v>
      </c>
      <c r="AD27" s="193">
        <f t="shared" si="12"/>
        <v>13.731</v>
      </c>
      <c r="AE27" s="193">
        <v>0.7</v>
      </c>
      <c r="AF27" s="195">
        <v>16.7654</v>
      </c>
      <c r="AG27" s="193">
        <f t="shared" si="13"/>
        <v>11.736000000000001</v>
      </c>
      <c r="AH27" s="198">
        <v>0.57999999999999996</v>
      </c>
      <c r="AI27" s="195">
        <v>16.7654</v>
      </c>
      <c r="AJ27" s="193">
        <f t="shared" si="14"/>
        <v>9.7240000000000002</v>
      </c>
      <c r="AK27" s="193">
        <v>0.58199999999999996</v>
      </c>
      <c r="AL27" s="195">
        <v>16.7654</v>
      </c>
      <c r="AM27" s="193">
        <f t="shared" si="15"/>
        <v>9.7569999999999997</v>
      </c>
      <c r="AN27" s="193">
        <f t="shared" si="1"/>
        <v>8.2911999999999999</v>
      </c>
      <c r="AO27" s="193">
        <f t="shared" si="16"/>
        <v>132.48000000000002</v>
      </c>
      <c r="AR27" s="15">
        <v>7.6399999999999988</v>
      </c>
      <c r="AS27" s="14">
        <f t="shared" si="3"/>
        <v>0.65120000000000111</v>
      </c>
    </row>
    <row r="28" spans="1:45" ht="44.25" customHeight="1" x14ac:dyDescent="0.2">
      <c r="A28" s="75" t="s">
        <v>162</v>
      </c>
      <c r="B28" s="85" t="s">
        <v>370</v>
      </c>
      <c r="C28" s="74" t="s">
        <v>280</v>
      </c>
      <c r="D28" s="193">
        <v>6.5039999999999996</v>
      </c>
      <c r="E28" s="193">
        <v>12.7224</v>
      </c>
      <c r="F28" s="193">
        <f t="shared" si="4"/>
        <v>82.745999999999995</v>
      </c>
      <c r="G28" s="193">
        <v>6.5039999999999996</v>
      </c>
      <c r="H28" s="193">
        <v>12.7224</v>
      </c>
      <c r="I28" s="193">
        <f t="shared" si="5"/>
        <v>82.745999999999995</v>
      </c>
      <c r="J28" s="196">
        <v>6.4039999999999999</v>
      </c>
      <c r="K28" s="193">
        <v>12.7224</v>
      </c>
      <c r="L28" s="193">
        <f t="shared" si="6"/>
        <v>81.474000000000004</v>
      </c>
      <c r="M28" s="197">
        <v>6.2039999999999997</v>
      </c>
      <c r="N28" s="193">
        <v>12.7224</v>
      </c>
      <c r="O28" s="193">
        <f t="shared" si="7"/>
        <v>78.930000000000007</v>
      </c>
      <c r="P28" s="197">
        <v>5.024</v>
      </c>
      <c r="Q28" s="193">
        <v>12.7224</v>
      </c>
      <c r="R28" s="193">
        <f t="shared" si="8"/>
        <v>63.917000000000002</v>
      </c>
      <c r="S28" s="195">
        <v>5.1239999999999997</v>
      </c>
      <c r="T28" s="193">
        <v>12.7224</v>
      </c>
      <c r="U28" s="193">
        <f t="shared" si="9"/>
        <v>65.19</v>
      </c>
      <c r="V28" s="198">
        <v>5.6239999999999997</v>
      </c>
      <c r="W28" s="195">
        <v>14.261799999999999</v>
      </c>
      <c r="X28" s="193">
        <f t="shared" si="10"/>
        <v>80.207999999999998</v>
      </c>
      <c r="Y28" s="197">
        <v>5.8639999999999999</v>
      </c>
      <c r="Z28" s="195">
        <v>14.261799999999999</v>
      </c>
      <c r="AA28" s="193">
        <f t="shared" si="11"/>
        <v>83.631</v>
      </c>
      <c r="AB28" s="193">
        <v>5.7439999999999998</v>
      </c>
      <c r="AC28" s="195">
        <v>14.261799999999999</v>
      </c>
      <c r="AD28" s="193">
        <f t="shared" si="12"/>
        <v>81.92</v>
      </c>
      <c r="AE28" s="193">
        <v>4.7839999999999998</v>
      </c>
      <c r="AF28" s="195">
        <v>14.261799999999999</v>
      </c>
      <c r="AG28" s="193">
        <f t="shared" si="13"/>
        <v>68.227999999999994</v>
      </c>
      <c r="AH28" s="198">
        <v>5.944</v>
      </c>
      <c r="AI28" s="195">
        <v>14.261799999999999</v>
      </c>
      <c r="AJ28" s="193">
        <f t="shared" si="14"/>
        <v>84.772000000000006</v>
      </c>
      <c r="AK28" s="193">
        <v>5.7839999999999998</v>
      </c>
      <c r="AL28" s="195">
        <v>14.261799999999999</v>
      </c>
      <c r="AM28" s="193">
        <f t="shared" si="15"/>
        <v>82.49</v>
      </c>
      <c r="AN28" s="193">
        <f t="shared" si="1"/>
        <v>69.50800000000001</v>
      </c>
      <c r="AO28" s="193">
        <f t="shared" si="16"/>
        <v>936.25199999999995</v>
      </c>
      <c r="AR28" s="15">
        <v>71.628000000000014</v>
      </c>
      <c r="AS28" s="14">
        <f t="shared" si="3"/>
        <v>-2.1200000000000045</v>
      </c>
    </row>
    <row r="29" spans="1:45" ht="44.25" customHeight="1" x14ac:dyDescent="0.2">
      <c r="A29" s="75" t="s">
        <v>163</v>
      </c>
      <c r="B29" s="85" t="s">
        <v>344</v>
      </c>
      <c r="C29" s="74" t="s">
        <v>280</v>
      </c>
      <c r="D29" s="193">
        <f>1.444+4.786</f>
        <v>6.2299999999999995</v>
      </c>
      <c r="E29" s="193">
        <v>13.028600000000001</v>
      </c>
      <c r="F29" s="193">
        <f t="shared" si="4"/>
        <v>81.168000000000006</v>
      </c>
      <c r="G29" s="193">
        <f>1.203+5.106</f>
        <v>6.3090000000000002</v>
      </c>
      <c r="H29" s="193">
        <v>13.028600000000001</v>
      </c>
      <c r="I29" s="193">
        <f t="shared" si="5"/>
        <v>82.197000000000003</v>
      </c>
      <c r="J29" s="196">
        <v>7.4320000000000004</v>
      </c>
      <c r="K29" s="193">
        <v>13.028600000000001</v>
      </c>
      <c r="L29" s="193">
        <f t="shared" si="6"/>
        <v>96.828999999999994</v>
      </c>
      <c r="M29" s="197">
        <f>1.054+4.946</f>
        <v>6</v>
      </c>
      <c r="N29" s="193">
        <v>13.028600000000001</v>
      </c>
      <c r="O29" s="193">
        <f t="shared" si="7"/>
        <v>78.171999999999997</v>
      </c>
      <c r="P29" s="197">
        <f>1.218+5.026</f>
        <v>6.2439999999999998</v>
      </c>
      <c r="Q29" s="193">
        <v>13.028600000000001</v>
      </c>
      <c r="R29" s="193">
        <f t="shared" si="8"/>
        <v>81.350999999999999</v>
      </c>
      <c r="S29" s="195">
        <v>7.4820000000000002</v>
      </c>
      <c r="T29" s="193">
        <v>13.028600000000001</v>
      </c>
      <c r="U29" s="193">
        <f t="shared" si="9"/>
        <v>97.48</v>
      </c>
      <c r="V29" s="198">
        <f>0.807+6.706</f>
        <v>7.5130000000000008</v>
      </c>
      <c r="W29" s="195">
        <v>14</v>
      </c>
      <c r="X29" s="193">
        <f t="shared" si="10"/>
        <v>105.182</v>
      </c>
      <c r="Y29" s="197">
        <f>10.066+0.865</f>
        <v>10.931000000000001</v>
      </c>
      <c r="Z29" s="195">
        <v>13.051299330472105</v>
      </c>
      <c r="AA29" s="193">
        <f t="shared" si="11"/>
        <v>142.66399999999999</v>
      </c>
      <c r="AB29" s="193">
        <v>0.94199999999999995</v>
      </c>
      <c r="AC29" s="195">
        <v>13.051299330472105</v>
      </c>
      <c r="AD29" s="193">
        <f t="shared" si="12"/>
        <v>12.294</v>
      </c>
      <c r="AE29" s="193">
        <f>1.041+5.97</f>
        <v>7.0109999999999992</v>
      </c>
      <c r="AF29" s="195">
        <v>13.051299330472105</v>
      </c>
      <c r="AG29" s="193">
        <f t="shared" si="13"/>
        <v>91.503</v>
      </c>
      <c r="AH29" s="198">
        <f>1.049+6.026</f>
        <v>7.0749999999999993</v>
      </c>
      <c r="AI29" s="195">
        <v>13.051299330472105</v>
      </c>
      <c r="AJ29" s="193">
        <f t="shared" si="14"/>
        <v>92.337999999999994</v>
      </c>
      <c r="AK29" s="193">
        <f>1.127+5.866</f>
        <v>6.9929999999999994</v>
      </c>
      <c r="AL29" s="195">
        <v>13.051299330472105</v>
      </c>
      <c r="AM29" s="193">
        <f t="shared" si="15"/>
        <v>91.268000000000001</v>
      </c>
      <c r="AN29" s="193">
        <f t="shared" si="1"/>
        <v>80.162000000000006</v>
      </c>
      <c r="AO29" s="193">
        <f t="shared" si="16"/>
        <v>1052.4459999999999</v>
      </c>
      <c r="AR29" s="15">
        <v>83.242000000000004</v>
      </c>
      <c r="AS29" s="14">
        <f t="shared" si="3"/>
        <v>-3.0799999999999983</v>
      </c>
    </row>
    <row r="30" spans="1:45" ht="48" customHeight="1" x14ac:dyDescent="0.2">
      <c r="A30" s="75" t="s">
        <v>164</v>
      </c>
      <c r="B30" s="85" t="s">
        <v>345</v>
      </c>
      <c r="C30" s="74" t="s">
        <v>280</v>
      </c>
      <c r="D30" s="193">
        <f>9.051+0.07</f>
        <v>9.1210000000000004</v>
      </c>
      <c r="E30" s="193">
        <v>12.7224</v>
      </c>
      <c r="F30" s="193">
        <f t="shared" si="4"/>
        <v>116.041</v>
      </c>
      <c r="G30" s="193">
        <v>12.635999999999999</v>
      </c>
      <c r="H30" s="193">
        <v>12.7224</v>
      </c>
      <c r="I30" s="193">
        <f t="shared" si="5"/>
        <v>160.76</v>
      </c>
      <c r="J30" s="196">
        <v>11.428000000000001</v>
      </c>
      <c r="K30" s="193">
        <v>12.7224</v>
      </c>
      <c r="L30" s="193">
        <f t="shared" si="6"/>
        <v>145.392</v>
      </c>
      <c r="M30" s="197">
        <v>11.131</v>
      </c>
      <c r="N30" s="193">
        <v>12.7224</v>
      </c>
      <c r="O30" s="193">
        <f t="shared" si="7"/>
        <v>141.613</v>
      </c>
      <c r="P30" s="197">
        <v>10.513</v>
      </c>
      <c r="Q30" s="193">
        <v>12.7224</v>
      </c>
      <c r="R30" s="193">
        <f t="shared" si="8"/>
        <v>133.751</v>
      </c>
      <c r="S30" s="195">
        <v>11.465</v>
      </c>
      <c r="T30" s="193">
        <v>12.7224</v>
      </c>
      <c r="U30" s="193">
        <f t="shared" si="9"/>
        <v>145.86199999999999</v>
      </c>
      <c r="V30" s="198">
        <v>11.019</v>
      </c>
      <c r="W30" s="195">
        <v>14.6051</v>
      </c>
      <c r="X30" s="193">
        <f t="shared" si="10"/>
        <v>160.934</v>
      </c>
      <c r="Y30" s="197">
        <v>14.285</v>
      </c>
      <c r="Z30" s="195">
        <v>14.6051</v>
      </c>
      <c r="AA30" s="193">
        <f t="shared" si="11"/>
        <v>208.63399999999999</v>
      </c>
      <c r="AB30" s="193">
        <v>11</v>
      </c>
      <c r="AC30" s="195">
        <v>14.6051</v>
      </c>
      <c r="AD30" s="193">
        <f t="shared" si="12"/>
        <v>160.65600000000001</v>
      </c>
      <c r="AE30" s="193">
        <v>11.537000000000001</v>
      </c>
      <c r="AF30" s="195">
        <v>14.6051</v>
      </c>
      <c r="AG30" s="193">
        <f t="shared" si="13"/>
        <v>168.499</v>
      </c>
      <c r="AH30" s="198">
        <v>13.262</v>
      </c>
      <c r="AI30" s="195">
        <v>14.6051</v>
      </c>
      <c r="AJ30" s="193">
        <f t="shared" si="14"/>
        <v>193.69300000000001</v>
      </c>
      <c r="AK30" s="193">
        <v>13.076000000000001</v>
      </c>
      <c r="AL30" s="195">
        <v>14.6051</v>
      </c>
      <c r="AM30" s="193">
        <f t="shared" si="15"/>
        <v>190.976</v>
      </c>
      <c r="AN30" s="193">
        <f t="shared" si="1"/>
        <v>140.47300000000001</v>
      </c>
      <c r="AO30" s="193">
        <f>F30+I30+L30+O30+R30+U30+X30+AA30+AD30+AG30+AJ30+AM30</f>
        <v>1926.8109999999997</v>
      </c>
      <c r="AR30" s="15">
        <v>135.15</v>
      </c>
      <c r="AS30" s="14">
        <f t="shared" si="3"/>
        <v>5.3230000000000075</v>
      </c>
    </row>
    <row r="31" spans="1:45" ht="63" customHeight="1" x14ac:dyDescent="0.2">
      <c r="A31" s="75" t="s">
        <v>165</v>
      </c>
      <c r="B31" s="85" t="s">
        <v>346</v>
      </c>
      <c r="C31" s="74" t="s">
        <v>280</v>
      </c>
      <c r="D31" s="193">
        <v>5.609</v>
      </c>
      <c r="E31" s="193">
        <v>14.9557</v>
      </c>
      <c r="F31" s="193">
        <f t="shared" si="4"/>
        <v>83.887</v>
      </c>
      <c r="G31" s="193">
        <v>5.6310000000000002</v>
      </c>
      <c r="H31" s="193">
        <v>14.9557</v>
      </c>
      <c r="I31" s="193">
        <f t="shared" si="5"/>
        <v>84.215999999999994</v>
      </c>
      <c r="J31" s="196">
        <v>5.4589999999999996</v>
      </c>
      <c r="K31" s="193">
        <v>14.9557</v>
      </c>
      <c r="L31" s="193">
        <f t="shared" si="6"/>
        <v>81.643000000000001</v>
      </c>
      <c r="M31" s="197">
        <v>5.2990000000000004</v>
      </c>
      <c r="N31" s="193">
        <v>14.9557</v>
      </c>
      <c r="O31" s="193">
        <f t="shared" si="7"/>
        <v>79.25</v>
      </c>
      <c r="P31" s="197">
        <v>4.6040000000000001</v>
      </c>
      <c r="Q31" s="193">
        <v>14.9557</v>
      </c>
      <c r="R31" s="193">
        <f t="shared" si="8"/>
        <v>68.855999999999995</v>
      </c>
      <c r="S31" s="195">
        <v>5.3410000000000002</v>
      </c>
      <c r="T31" s="193">
        <v>14.9557</v>
      </c>
      <c r="U31" s="193">
        <f t="shared" si="9"/>
        <v>79.878</v>
      </c>
      <c r="V31" s="198">
        <v>5.2320000000000002</v>
      </c>
      <c r="W31" s="195">
        <v>16.7654</v>
      </c>
      <c r="X31" s="193">
        <f t="shared" si="10"/>
        <v>87.716999999999999</v>
      </c>
      <c r="Y31" s="197">
        <v>7.1059999999999999</v>
      </c>
      <c r="Z31" s="195">
        <v>16.7654</v>
      </c>
      <c r="AA31" s="193">
        <f t="shared" si="11"/>
        <v>119.13500000000001</v>
      </c>
      <c r="AB31" s="193">
        <v>4.6280000000000001</v>
      </c>
      <c r="AC31" s="195">
        <v>16.7654</v>
      </c>
      <c r="AD31" s="193">
        <f t="shared" si="12"/>
        <v>77.59</v>
      </c>
      <c r="AE31" s="193">
        <v>4.593</v>
      </c>
      <c r="AF31" s="195">
        <v>16.7654</v>
      </c>
      <c r="AG31" s="193">
        <f t="shared" si="13"/>
        <v>77.003</v>
      </c>
      <c r="AH31" s="198">
        <v>4.4669999999999996</v>
      </c>
      <c r="AI31" s="195">
        <v>16.7654</v>
      </c>
      <c r="AJ31" s="193">
        <f t="shared" si="14"/>
        <v>74.891000000000005</v>
      </c>
      <c r="AK31" s="193">
        <v>6.1909999999999998</v>
      </c>
      <c r="AL31" s="195">
        <v>16.7654</v>
      </c>
      <c r="AM31" s="193">
        <f t="shared" si="15"/>
        <v>103.795</v>
      </c>
      <c r="AN31" s="193">
        <f t="shared" si="1"/>
        <v>64.16</v>
      </c>
      <c r="AO31" s="193">
        <f t="shared" si="16"/>
        <v>1017.861</v>
      </c>
      <c r="AP31" s="16"/>
      <c r="AR31" s="15">
        <v>62.866999999999997</v>
      </c>
      <c r="AS31" s="14">
        <f t="shared" si="3"/>
        <v>1.2929999999999993</v>
      </c>
    </row>
    <row r="32" spans="1:45" ht="55.5" customHeight="1" x14ac:dyDescent="0.2">
      <c r="A32" s="75" t="s">
        <v>166</v>
      </c>
      <c r="B32" s="85" t="s">
        <v>371</v>
      </c>
      <c r="C32" s="74" t="s">
        <v>280</v>
      </c>
      <c r="D32" s="193">
        <v>2.1760000000000002</v>
      </c>
      <c r="E32" s="193">
        <v>10.3154</v>
      </c>
      <c r="F32" s="193">
        <f t="shared" si="4"/>
        <v>22.446000000000002</v>
      </c>
      <c r="G32" s="193">
        <v>2.3420000000000001</v>
      </c>
      <c r="H32" s="193">
        <v>10.3154</v>
      </c>
      <c r="I32" s="193">
        <f t="shared" si="5"/>
        <v>24.158999999999999</v>
      </c>
      <c r="J32" s="196">
        <v>2.1930000000000001</v>
      </c>
      <c r="K32" s="193">
        <v>10.3154</v>
      </c>
      <c r="L32" s="193">
        <f t="shared" si="6"/>
        <v>22.622</v>
      </c>
      <c r="M32" s="197">
        <v>2.198</v>
      </c>
      <c r="N32" s="193">
        <v>10.3154</v>
      </c>
      <c r="O32" s="193">
        <f t="shared" si="7"/>
        <v>22.672999999999998</v>
      </c>
      <c r="P32" s="197">
        <v>1.8979999999999999</v>
      </c>
      <c r="Q32" s="193">
        <v>10.3154</v>
      </c>
      <c r="R32" s="193">
        <f t="shared" si="8"/>
        <v>19.579000000000001</v>
      </c>
      <c r="S32" s="195">
        <v>1.524</v>
      </c>
      <c r="T32" s="193">
        <v>10.3154</v>
      </c>
      <c r="U32" s="193">
        <f t="shared" si="9"/>
        <v>15.721</v>
      </c>
      <c r="V32" s="198">
        <v>1.4279999999999999</v>
      </c>
      <c r="W32" s="195">
        <v>11.563599999999999</v>
      </c>
      <c r="X32" s="193">
        <f t="shared" si="10"/>
        <v>16.513000000000002</v>
      </c>
      <c r="Y32" s="197">
        <v>2.33</v>
      </c>
      <c r="Z32" s="195">
        <v>11.563599999999999</v>
      </c>
      <c r="AA32" s="193">
        <f t="shared" si="11"/>
        <v>26.943000000000001</v>
      </c>
      <c r="AB32" s="193">
        <v>3.0489999999999999</v>
      </c>
      <c r="AC32" s="195">
        <v>11.563599999999999</v>
      </c>
      <c r="AD32" s="193">
        <f t="shared" si="12"/>
        <v>35.256999999999998</v>
      </c>
      <c r="AE32" s="193">
        <f>3.185</f>
        <v>3.1850000000000001</v>
      </c>
      <c r="AF32" s="195">
        <v>11.563599999999999</v>
      </c>
      <c r="AG32" s="193">
        <f t="shared" si="13"/>
        <v>36.83</v>
      </c>
      <c r="AH32" s="198">
        <v>3.9580000000000002</v>
      </c>
      <c r="AI32" s="195">
        <v>11.563599999999999</v>
      </c>
      <c r="AJ32" s="193">
        <f t="shared" si="14"/>
        <v>45.768999999999998</v>
      </c>
      <c r="AK32" s="193">
        <v>3.17</v>
      </c>
      <c r="AL32" s="195">
        <v>11.563599999999999</v>
      </c>
      <c r="AM32" s="193">
        <f t="shared" si="15"/>
        <v>36.656999999999996</v>
      </c>
      <c r="AN32" s="193">
        <f t="shared" si="1"/>
        <v>29.451000000000001</v>
      </c>
      <c r="AO32" s="193">
        <f t="shared" si="16"/>
        <v>325.16900000000004</v>
      </c>
      <c r="AR32" s="15">
        <v>26.091999999999999</v>
      </c>
      <c r="AS32" s="14">
        <f t="shared" si="3"/>
        <v>3.3590000000000018</v>
      </c>
    </row>
    <row r="33" spans="1:47" ht="52.5" customHeight="1" x14ac:dyDescent="0.2">
      <c r="A33" s="75" t="s">
        <v>167</v>
      </c>
      <c r="B33" s="85" t="s">
        <v>347</v>
      </c>
      <c r="C33" s="74" t="s">
        <v>280</v>
      </c>
      <c r="D33" s="193">
        <v>1.641</v>
      </c>
      <c r="E33" s="193">
        <v>14.9557</v>
      </c>
      <c r="F33" s="193">
        <v>21.972999999999999</v>
      </c>
      <c r="G33" s="193">
        <v>1.677</v>
      </c>
      <c r="H33" s="193">
        <v>14.9557</v>
      </c>
      <c r="I33" s="193">
        <v>22.454999999999998</v>
      </c>
      <c r="J33" s="196">
        <v>1.8680000000000001</v>
      </c>
      <c r="K33" s="193">
        <v>14.9557</v>
      </c>
      <c r="L33" s="193">
        <v>25.013000000000002</v>
      </c>
      <c r="M33" s="197">
        <v>1.6719999999999999</v>
      </c>
      <c r="N33" s="193">
        <v>14.9557</v>
      </c>
      <c r="O33" s="193">
        <v>22.388000000000002</v>
      </c>
      <c r="P33" s="197">
        <v>1.6379999999999999</v>
      </c>
      <c r="Q33" s="193">
        <v>14.9557</v>
      </c>
      <c r="R33" s="193">
        <v>21.933</v>
      </c>
      <c r="S33" s="193">
        <v>4.415</v>
      </c>
      <c r="T33" s="193">
        <v>14.9557</v>
      </c>
      <c r="U33" s="193">
        <v>59.116999999999997</v>
      </c>
      <c r="V33" s="198">
        <v>4.415</v>
      </c>
      <c r="W33" s="195">
        <v>16.7654</v>
      </c>
      <c r="X33" s="193">
        <v>65.62</v>
      </c>
      <c r="Y33" s="197">
        <v>4.3849999999999998</v>
      </c>
      <c r="Z33" s="195">
        <v>16.7654</v>
      </c>
      <c r="AA33" s="193">
        <v>65.174000000000007</v>
      </c>
      <c r="AB33" s="193">
        <v>4.3090000000000002</v>
      </c>
      <c r="AC33" s="195">
        <v>16.7654</v>
      </c>
      <c r="AD33" s="193">
        <v>64.045000000000002</v>
      </c>
      <c r="AE33" s="193">
        <v>4.5570000000000004</v>
      </c>
      <c r="AF33" s="195">
        <v>16.7654</v>
      </c>
      <c r="AG33" s="193">
        <v>67.730999999999995</v>
      </c>
      <c r="AH33" s="198">
        <v>4.5170000000000003</v>
      </c>
      <c r="AI33" s="195">
        <v>16.7654</v>
      </c>
      <c r="AJ33" s="193">
        <v>67.135999999999996</v>
      </c>
      <c r="AK33" s="193">
        <v>4.83</v>
      </c>
      <c r="AL33" s="195">
        <v>16.7654</v>
      </c>
      <c r="AM33" s="193">
        <v>71.787999999999997</v>
      </c>
      <c r="AN33" s="193">
        <f t="shared" si="1"/>
        <v>39.923999999999999</v>
      </c>
      <c r="AO33" s="193">
        <v>574.37300000000005</v>
      </c>
      <c r="AR33" s="15">
        <v>17.365000000000002</v>
      </c>
      <c r="AS33" s="14">
        <f t="shared" si="3"/>
        <v>22.558999999999997</v>
      </c>
    </row>
    <row r="34" spans="1:47" ht="57" customHeight="1" x14ac:dyDescent="0.2">
      <c r="A34" s="75" t="s">
        <v>168</v>
      </c>
      <c r="B34" s="85" t="s">
        <v>348</v>
      </c>
      <c r="C34" s="74" t="s">
        <v>280</v>
      </c>
      <c r="D34" s="193">
        <f>4.432+6.5</f>
        <v>10.932</v>
      </c>
      <c r="E34" s="193">
        <v>14.9557</v>
      </c>
      <c r="F34" s="193">
        <f t="shared" si="4"/>
        <v>163.49600000000001</v>
      </c>
      <c r="G34" s="193">
        <v>8.1660000000000004</v>
      </c>
      <c r="H34" s="193">
        <v>14.9557</v>
      </c>
      <c r="I34" s="193">
        <f t="shared" si="5"/>
        <v>122.128</v>
      </c>
      <c r="J34" s="196">
        <v>4.9080000000000004</v>
      </c>
      <c r="K34" s="193">
        <v>14.9557</v>
      </c>
      <c r="L34" s="193">
        <f t="shared" si="6"/>
        <v>73.403000000000006</v>
      </c>
      <c r="M34" s="197">
        <v>3.85</v>
      </c>
      <c r="N34" s="193">
        <v>14.9557</v>
      </c>
      <c r="O34" s="193">
        <f t="shared" si="7"/>
        <v>57.579000000000001</v>
      </c>
      <c r="P34" s="197">
        <v>3.3479999999999999</v>
      </c>
      <c r="Q34" s="193">
        <v>14.9557</v>
      </c>
      <c r="R34" s="193">
        <f t="shared" si="8"/>
        <v>50.072000000000003</v>
      </c>
      <c r="S34" s="193">
        <v>3.8620000000000001</v>
      </c>
      <c r="T34" s="193">
        <v>14.9557</v>
      </c>
      <c r="U34" s="193">
        <f t="shared" si="9"/>
        <v>57.759</v>
      </c>
      <c r="V34" s="198">
        <v>3.859</v>
      </c>
      <c r="W34" s="195">
        <v>16.7654</v>
      </c>
      <c r="X34" s="193">
        <f t="shared" si="10"/>
        <v>64.697999999999993</v>
      </c>
      <c r="Y34" s="197">
        <v>3.8149999999999999</v>
      </c>
      <c r="Z34" s="195">
        <v>16.7654</v>
      </c>
      <c r="AA34" s="193">
        <f t="shared" si="11"/>
        <v>63.96</v>
      </c>
      <c r="AB34" s="193">
        <v>3.7829999999999999</v>
      </c>
      <c r="AC34" s="195">
        <v>16.7654</v>
      </c>
      <c r="AD34" s="193">
        <f t="shared" si="12"/>
        <v>63.423999999999999</v>
      </c>
      <c r="AE34" s="193">
        <v>3.3029999999999999</v>
      </c>
      <c r="AF34" s="195">
        <v>16.7654</v>
      </c>
      <c r="AG34" s="193">
        <f t="shared" si="13"/>
        <v>55.375999999999998</v>
      </c>
      <c r="AH34" s="198">
        <v>3.3620000000000001</v>
      </c>
      <c r="AI34" s="195">
        <v>16.7654</v>
      </c>
      <c r="AJ34" s="193">
        <f t="shared" si="14"/>
        <v>56.365000000000002</v>
      </c>
      <c r="AK34" s="193">
        <v>3.37</v>
      </c>
      <c r="AL34" s="195">
        <v>16.7654</v>
      </c>
      <c r="AM34" s="193">
        <f t="shared" si="15"/>
        <v>56.499000000000002</v>
      </c>
      <c r="AN34" s="193">
        <f t="shared" si="1"/>
        <v>56.558</v>
      </c>
      <c r="AO34" s="193">
        <f t="shared" si="16"/>
        <v>884.75900000000001</v>
      </c>
      <c r="AR34" s="15">
        <v>33.734999999999999</v>
      </c>
      <c r="AS34" s="14">
        <f t="shared" si="3"/>
        <v>22.823</v>
      </c>
    </row>
    <row r="35" spans="1:47" ht="54" customHeight="1" x14ac:dyDescent="0.2">
      <c r="A35" s="75" t="s">
        <v>169</v>
      </c>
      <c r="B35" s="85" t="s">
        <v>349</v>
      </c>
      <c r="C35" s="74" t="s">
        <v>280</v>
      </c>
      <c r="D35" s="193">
        <v>2.8</v>
      </c>
      <c r="E35" s="193">
        <v>14.9557</v>
      </c>
      <c r="F35" s="193">
        <f t="shared" si="4"/>
        <v>41.875999999999998</v>
      </c>
      <c r="G35" s="193">
        <v>2.8</v>
      </c>
      <c r="H35" s="193">
        <v>14.9557</v>
      </c>
      <c r="I35" s="193">
        <f t="shared" si="5"/>
        <v>41.875999999999998</v>
      </c>
      <c r="J35" s="196">
        <v>2.8</v>
      </c>
      <c r="K35" s="193">
        <v>14.9557</v>
      </c>
      <c r="L35" s="193">
        <f t="shared" si="6"/>
        <v>41.875999999999998</v>
      </c>
      <c r="M35" s="197">
        <v>2.8</v>
      </c>
      <c r="N35" s="193">
        <v>14.9557</v>
      </c>
      <c r="O35" s="193">
        <f t="shared" si="7"/>
        <v>41.875999999999998</v>
      </c>
      <c r="P35" s="197">
        <v>2.8</v>
      </c>
      <c r="Q35" s="193">
        <v>14.9557</v>
      </c>
      <c r="R35" s="193">
        <f t="shared" si="8"/>
        <v>41.875999999999998</v>
      </c>
      <c r="S35" s="193">
        <v>2.2999999999999998</v>
      </c>
      <c r="T35" s="193">
        <v>14.9557</v>
      </c>
      <c r="U35" s="193">
        <f t="shared" si="9"/>
        <v>34.398000000000003</v>
      </c>
      <c r="V35" s="198">
        <v>2.2999999999999998</v>
      </c>
      <c r="W35" s="195">
        <v>16.7654</v>
      </c>
      <c r="X35" s="193">
        <f t="shared" si="10"/>
        <v>38.56</v>
      </c>
      <c r="Y35" s="197">
        <v>2.2999999999999998</v>
      </c>
      <c r="Z35" s="195">
        <v>16.7654</v>
      </c>
      <c r="AA35" s="193">
        <f t="shared" si="11"/>
        <v>38.56</v>
      </c>
      <c r="AB35" s="193">
        <v>4.3</v>
      </c>
      <c r="AC35" s="195">
        <v>16.7654</v>
      </c>
      <c r="AD35" s="193">
        <f t="shared" si="12"/>
        <v>72.090999999999994</v>
      </c>
      <c r="AE35" s="193">
        <v>3.3</v>
      </c>
      <c r="AF35" s="195">
        <v>16.7654</v>
      </c>
      <c r="AG35" s="193">
        <f t="shared" si="13"/>
        <v>55.326000000000001</v>
      </c>
      <c r="AH35" s="198">
        <v>3.3</v>
      </c>
      <c r="AI35" s="195">
        <v>16.7654</v>
      </c>
      <c r="AJ35" s="193">
        <f t="shared" si="14"/>
        <v>55.326000000000001</v>
      </c>
      <c r="AK35" s="193">
        <v>3.3</v>
      </c>
      <c r="AL35" s="195">
        <v>16.7654</v>
      </c>
      <c r="AM35" s="193">
        <f t="shared" si="15"/>
        <v>55.326000000000001</v>
      </c>
      <c r="AN35" s="193">
        <f t="shared" si="1"/>
        <v>35.1</v>
      </c>
      <c r="AO35" s="193">
        <f t="shared" si="16"/>
        <v>558.96699999999998</v>
      </c>
      <c r="AR35" s="15">
        <v>30.067</v>
      </c>
      <c r="AS35" s="14">
        <f t="shared" si="3"/>
        <v>5.0330000000000013</v>
      </c>
    </row>
    <row r="36" spans="1:47" ht="47.25" customHeight="1" x14ac:dyDescent="0.2">
      <c r="A36" s="75" t="s">
        <v>170</v>
      </c>
      <c r="B36" s="85" t="s">
        <v>350</v>
      </c>
      <c r="C36" s="74" t="s">
        <v>280</v>
      </c>
      <c r="D36" s="193">
        <v>1.2150000000000001</v>
      </c>
      <c r="E36" s="193">
        <v>14.9557</v>
      </c>
      <c r="F36" s="193">
        <f t="shared" si="4"/>
        <v>18.170999999999999</v>
      </c>
      <c r="G36" s="193">
        <v>1.9650000000000001</v>
      </c>
      <c r="H36" s="193">
        <v>14.9557</v>
      </c>
      <c r="I36" s="193">
        <f t="shared" si="5"/>
        <v>29.388000000000002</v>
      </c>
      <c r="J36" s="196">
        <v>2.2349999999999999</v>
      </c>
      <c r="K36" s="193">
        <v>14.9557</v>
      </c>
      <c r="L36" s="193">
        <f t="shared" si="6"/>
        <v>33.426000000000002</v>
      </c>
      <c r="M36" s="197">
        <v>1.395</v>
      </c>
      <c r="N36" s="193">
        <v>14.9557</v>
      </c>
      <c r="O36" s="193">
        <f t="shared" si="7"/>
        <v>20.863</v>
      </c>
      <c r="P36" s="197">
        <v>1.1850000000000001</v>
      </c>
      <c r="Q36" s="193">
        <v>14.9557</v>
      </c>
      <c r="R36" s="193">
        <f t="shared" si="8"/>
        <v>17.722999999999999</v>
      </c>
      <c r="S36" s="195">
        <v>0.97499999999999998</v>
      </c>
      <c r="T36" s="193">
        <v>14.9557</v>
      </c>
      <c r="U36" s="193">
        <f t="shared" si="9"/>
        <v>14.582000000000001</v>
      </c>
      <c r="V36" s="198">
        <v>1.335</v>
      </c>
      <c r="W36" s="195">
        <v>16.7654</v>
      </c>
      <c r="X36" s="193">
        <f t="shared" si="10"/>
        <v>22.382000000000001</v>
      </c>
      <c r="Y36" s="197">
        <v>1.6950000000000001</v>
      </c>
      <c r="Z36" s="195">
        <v>16.7654</v>
      </c>
      <c r="AA36" s="193">
        <f t="shared" si="11"/>
        <v>28.417000000000002</v>
      </c>
      <c r="AB36" s="193">
        <v>1.379</v>
      </c>
      <c r="AC36" s="195">
        <v>16.7654</v>
      </c>
      <c r="AD36" s="193">
        <f t="shared" si="12"/>
        <v>23.119</v>
      </c>
      <c r="AE36" s="193">
        <v>1.7629999999999999</v>
      </c>
      <c r="AF36" s="195">
        <v>16.7654</v>
      </c>
      <c r="AG36" s="193">
        <f t="shared" si="13"/>
        <v>29.556999999999999</v>
      </c>
      <c r="AH36" s="198">
        <v>2.0550000000000002</v>
      </c>
      <c r="AI36" s="195">
        <v>16.7654</v>
      </c>
      <c r="AJ36" s="193">
        <f t="shared" si="14"/>
        <v>34.453000000000003</v>
      </c>
      <c r="AK36" s="193">
        <v>2.625</v>
      </c>
      <c r="AL36" s="195">
        <v>16.7654</v>
      </c>
      <c r="AM36" s="193">
        <f t="shared" si="15"/>
        <v>44.009</v>
      </c>
      <c r="AN36" s="193">
        <f t="shared" si="1"/>
        <v>19.821999999999999</v>
      </c>
      <c r="AO36" s="193">
        <f t="shared" si="16"/>
        <v>316.09000000000003</v>
      </c>
      <c r="AP36" s="16"/>
      <c r="AR36" s="15">
        <v>14.58</v>
      </c>
      <c r="AS36" s="14">
        <f t="shared" si="3"/>
        <v>5.2419999999999991</v>
      </c>
    </row>
    <row r="37" spans="1:47" ht="46.5" customHeight="1" x14ac:dyDescent="0.2">
      <c r="A37" s="75" t="s">
        <v>171</v>
      </c>
      <c r="B37" s="85" t="s">
        <v>391</v>
      </c>
      <c r="C37" s="74" t="s">
        <v>280</v>
      </c>
      <c r="D37" s="193">
        <v>2.0139999999999998</v>
      </c>
      <c r="E37" s="193">
        <v>13.1897</v>
      </c>
      <c r="F37" s="193">
        <f t="shared" si="4"/>
        <v>26.564</v>
      </c>
      <c r="G37" s="193">
        <v>1.9219999999999999</v>
      </c>
      <c r="H37" s="193">
        <v>13.1897</v>
      </c>
      <c r="I37" s="193">
        <f t="shared" si="5"/>
        <v>25.350999999999999</v>
      </c>
      <c r="J37" s="196">
        <v>2.0710000000000002</v>
      </c>
      <c r="K37" s="193">
        <v>13.1897</v>
      </c>
      <c r="L37" s="193">
        <f t="shared" si="6"/>
        <v>27.315999999999999</v>
      </c>
      <c r="M37" s="197">
        <v>2.1360000000000001</v>
      </c>
      <c r="N37" s="193">
        <v>13.1897</v>
      </c>
      <c r="O37" s="193">
        <f t="shared" si="7"/>
        <v>28.172999999999998</v>
      </c>
      <c r="P37" s="197">
        <f>1.32+0.513</f>
        <v>1.8330000000000002</v>
      </c>
      <c r="Q37" s="193">
        <v>13.1897</v>
      </c>
      <c r="R37" s="193">
        <f t="shared" si="8"/>
        <v>24.177</v>
      </c>
      <c r="S37" s="195">
        <v>2.13</v>
      </c>
      <c r="T37" s="193">
        <v>13.1897</v>
      </c>
      <c r="U37" s="193">
        <f t="shared" si="9"/>
        <v>28.094000000000001</v>
      </c>
      <c r="V37" s="198">
        <f>0.43+0.78</f>
        <v>1.21</v>
      </c>
      <c r="W37" s="195">
        <v>14.7857</v>
      </c>
      <c r="X37" s="193">
        <f t="shared" si="10"/>
        <v>17.890999999999998</v>
      </c>
      <c r="Y37" s="197">
        <f>0.595+1.96</f>
        <v>2.5549999999999997</v>
      </c>
      <c r="Z37" s="195">
        <v>14.7857</v>
      </c>
      <c r="AA37" s="193">
        <f t="shared" si="11"/>
        <v>37.777000000000001</v>
      </c>
      <c r="AB37" s="193">
        <f>0.411+1.44</f>
        <v>1.851</v>
      </c>
      <c r="AC37" s="195">
        <v>14.7857</v>
      </c>
      <c r="AD37" s="193">
        <f t="shared" si="12"/>
        <v>27.367999999999999</v>
      </c>
      <c r="AE37" s="193">
        <f>0.295+1.3</f>
        <v>1.595</v>
      </c>
      <c r="AF37" s="195">
        <v>14.7857</v>
      </c>
      <c r="AG37" s="193">
        <f t="shared" si="13"/>
        <v>23.582999999999998</v>
      </c>
      <c r="AH37" s="198">
        <f>0.214+1.28</f>
        <v>1.494</v>
      </c>
      <c r="AI37" s="195">
        <v>14.7857</v>
      </c>
      <c r="AJ37" s="193">
        <f t="shared" si="14"/>
        <v>22.09</v>
      </c>
      <c r="AK37" s="193">
        <f>0.17+1.48</f>
        <v>1.65</v>
      </c>
      <c r="AL37" s="195">
        <v>14.7857</v>
      </c>
      <c r="AM37" s="193">
        <f t="shared" si="15"/>
        <v>24.396000000000001</v>
      </c>
      <c r="AN37" s="193">
        <f t="shared" si="1"/>
        <v>22.460999999999999</v>
      </c>
      <c r="AO37" s="193">
        <f t="shared" si="16"/>
        <v>312.77999999999997</v>
      </c>
      <c r="AR37" s="15">
        <v>23.766000000000002</v>
      </c>
      <c r="AS37" s="14">
        <f t="shared" si="3"/>
        <v>-1.3050000000000033</v>
      </c>
    </row>
    <row r="38" spans="1:47" ht="51" customHeight="1" x14ac:dyDescent="0.2">
      <c r="A38" s="75" t="s">
        <v>172</v>
      </c>
      <c r="B38" s="85" t="s">
        <v>372</v>
      </c>
      <c r="C38" s="74" t="s">
        <v>280</v>
      </c>
      <c r="D38" s="193">
        <f>0.466+0.86</f>
        <v>1.3260000000000001</v>
      </c>
      <c r="E38" s="193">
        <v>14.9557</v>
      </c>
      <c r="F38" s="193">
        <f t="shared" si="4"/>
        <v>19.831</v>
      </c>
      <c r="G38" s="193">
        <v>0.48199999999999998</v>
      </c>
      <c r="H38" s="193">
        <v>14.9557</v>
      </c>
      <c r="I38" s="193">
        <f t="shared" si="5"/>
        <v>7.2089999999999996</v>
      </c>
      <c r="J38" s="196">
        <v>0.41799999999999998</v>
      </c>
      <c r="K38" s="193">
        <v>14.9557</v>
      </c>
      <c r="L38" s="193">
        <f t="shared" si="6"/>
        <v>6.2510000000000003</v>
      </c>
      <c r="M38" s="197">
        <v>0.433</v>
      </c>
      <c r="N38" s="193">
        <v>14.9557</v>
      </c>
      <c r="O38" s="193">
        <f t="shared" si="7"/>
        <v>6.476</v>
      </c>
      <c r="P38" s="197">
        <v>0.42399999999999999</v>
      </c>
      <c r="Q38" s="193">
        <v>14.9557</v>
      </c>
      <c r="R38" s="193">
        <f t="shared" si="8"/>
        <v>6.3410000000000002</v>
      </c>
      <c r="S38" s="195">
        <v>0.49199999999999999</v>
      </c>
      <c r="T38" s="193">
        <v>14.9557</v>
      </c>
      <c r="U38" s="193">
        <f t="shared" si="9"/>
        <v>7.3579999999999997</v>
      </c>
      <c r="V38" s="198">
        <v>0.54900000000000004</v>
      </c>
      <c r="W38" s="195">
        <v>16.7654</v>
      </c>
      <c r="X38" s="193">
        <f t="shared" si="10"/>
        <v>9.2040000000000006</v>
      </c>
      <c r="Y38" s="197">
        <v>0.58399999999999996</v>
      </c>
      <c r="Z38" s="195">
        <v>16.7654</v>
      </c>
      <c r="AA38" s="193">
        <f t="shared" si="11"/>
        <v>9.7910000000000004</v>
      </c>
      <c r="AB38" s="193">
        <v>0.45500000000000002</v>
      </c>
      <c r="AC38" s="195">
        <v>16.7654</v>
      </c>
      <c r="AD38" s="193">
        <f t="shared" si="12"/>
        <v>7.6280000000000001</v>
      </c>
      <c r="AE38" s="193">
        <v>0.41899999999999998</v>
      </c>
      <c r="AF38" s="195">
        <v>16.7654</v>
      </c>
      <c r="AG38" s="193">
        <f t="shared" si="13"/>
        <v>7.0250000000000004</v>
      </c>
      <c r="AH38" s="198">
        <v>0.47399999999999998</v>
      </c>
      <c r="AI38" s="195">
        <v>16.7654</v>
      </c>
      <c r="AJ38" s="193">
        <f t="shared" si="14"/>
        <v>7.9470000000000001</v>
      </c>
      <c r="AK38" s="193">
        <v>0.52700000000000002</v>
      </c>
      <c r="AL38" s="195">
        <v>16.7654</v>
      </c>
      <c r="AM38" s="193">
        <f t="shared" si="15"/>
        <v>8.8350000000000009</v>
      </c>
      <c r="AN38" s="193">
        <f t="shared" si="1"/>
        <v>6.5829999999999993</v>
      </c>
      <c r="AO38" s="193">
        <f t="shared" si="16"/>
        <v>103.89600000000002</v>
      </c>
      <c r="AR38" s="15">
        <v>7.9</v>
      </c>
      <c r="AS38" s="14">
        <f t="shared" si="3"/>
        <v>-1.3170000000000011</v>
      </c>
    </row>
    <row r="39" spans="1:47" ht="54" customHeight="1" x14ac:dyDescent="0.2">
      <c r="A39" s="75" t="s">
        <v>173</v>
      </c>
      <c r="B39" s="85" t="s">
        <v>373</v>
      </c>
      <c r="C39" s="74" t="s">
        <v>280</v>
      </c>
      <c r="D39" s="193">
        <f>3.187+5.65</f>
        <v>8.8369999999999997</v>
      </c>
      <c r="E39" s="193">
        <v>14.9557</v>
      </c>
      <c r="F39" s="193">
        <f t="shared" si="4"/>
        <v>132.16399999999999</v>
      </c>
      <c r="G39" s="193">
        <v>3.347</v>
      </c>
      <c r="H39" s="193">
        <v>14.9557</v>
      </c>
      <c r="I39" s="193">
        <f t="shared" si="5"/>
        <v>50.057000000000002</v>
      </c>
      <c r="J39" s="196">
        <v>3.4670000000000001</v>
      </c>
      <c r="K39" s="193">
        <v>14.9557</v>
      </c>
      <c r="L39" s="193">
        <f t="shared" si="6"/>
        <v>51.850999999999999</v>
      </c>
      <c r="M39" s="197">
        <v>3.5670000000000002</v>
      </c>
      <c r="N39" s="193">
        <v>14.9557</v>
      </c>
      <c r="O39" s="193">
        <f t="shared" si="7"/>
        <v>53.347000000000001</v>
      </c>
      <c r="P39" s="197">
        <v>2.9470000000000001</v>
      </c>
      <c r="Q39" s="193">
        <v>14.9557</v>
      </c>
      <c r="R39" s="193">
        <f t="shared" si="8"/>
        <v>44.073999999999998</v>
      </c>
      <c r="S39" s="195">
        <v>2.907</v>
      </c>
      <c r="T39" s="193">
        <v>14.9557</v>
      </c>
      <c r="U39" s="193">
        <f t="shared" si="9"/>
        <v>43.475999999999999</v>
      </c>
      <c r="V39" s="198">
        <v>3.9670000000000001</v>
      </c>
      <c r="W39" s="195">
        <v>16.7654</v>
      </c>
      <c r="X39" s="193">
        <f t="shared" si="10"/>
        <v>66.507999999999996</v>
      </c>
      <c r="Y39" s="197">
        <v>3.2069999999999999</v>
      </c>
      <c r="Z39" s="195">
        <v>16.7654</v>
      </c>
      <c r="AA39" s="193">
        <f t="shared" si="11"/>
        <v>53.767000000000003</v>
      </c>
      <c r="AB39" s="193">
        <v>2.6869999999999998</v>
      </c>
      <c r="AC39" s="195">
        <v>16.7654</v>
      </c>
      <c r="AD39" s="193">
        <f t="shared" si="12"/>
        <v>45.048999999999999</v>
      </c>
      <c r="AE39" s="193">
        <v>2.9870000000000001</v>
      </c>
      <c r="AF39" s="195">
        <v>16.7654</v>
      </c>
      <c r="AG39" s="193">
        <f t="shared" si="13"/>
        <v>50.078000000000003</v>
      </c>
      <c r="AH39" s="198">
        <v>2.847</v>
      </c>
      <c r="AI39" s="195">
        <v>16.7654</v>
      </c>
      <c r="AJ39" s="193">
        <f t="shared" si="14"/>
        <v>47.731000000000002</v>
      </c>
      <c r="AK39" s="193">
        <v>4.1070000000000002</v>
      </c>
      <c r="AL39" s="195">
        <v>16.7654</v>
      </c>
      <c r="AM39" s="193">
        <f t="shared" si="15"/>
        <v>68.855000000000004</v>
      </c>
      <c r="AN39" s="193">
        <f t="shared" si="1"/>
        <v>44.873999999999995</v>
      </c>
      <c r="AO39" s="193">
        <f t="shared" si="16"/>
        <v>706.95699999999999</v>
      </c>
      <c r="AR39" s="15">
        <v>35.403999999999996</v>
      </c>
      <c r="AS39" s="14">
        <f t="shared" si="3"/>
        <v>9.4699999999999989</v>
      </c>
    </row>
    <row r="40" spans="1:47" ht="54" customHeight="1" x14ac:dyDescent="0.2">
      <c r="A40" s="75" t="s">
        <v>273</v>
      </c>
      <c r="B40" s="85" t="s">
        <v>374</v>
      </c>
      <c r="C40" s="74" t="s">
        <v>280</v>
      </c>
      <c r="D40" s="193">
        <f>4.074+6.571</f>
        <v>10.645</v>
      </c>
      <c r="E40" s="193">
        <v>14.9557</v>
      </c>
      <c r="F40" s="193">
        <f t="shared" si="4"/>
        <v>159.203</v>
      </c>
      <c r="G40" s="193">
        <v>1.58</v>
      </c>
      <c r="H40" s="193">
        <v>14.9557</v>
      </c>
      <c r="I40" s="193">
        <f t="shared" si="5"/>
        <v>23.63</v>
      </c>
      <c r="J40" s="196">
        <v>1.8720000000000001</v>
      </c>
      <c r="K40" s="193">
        <v>14.9557</v>
      </c>
      <c r="L40" s="193">
        <f t="shared" si="6"/>
        <v>27.997</v>
      </c>
      <c r="M40" s="197">
        <v>1.429</v>
      </c>
      <c r="N40" s="193">
        <v>14.9557</v>
      </c>
      <c r="O40" s="193">
        <f t="shared" si="7"/>
        <v>21.372</v>
      </c>
      <c r="P40" s="197">
        <v>1.8320000000000001</v>
      </c>
      <c r="Q40" s="193">
        <v>14.9557</v>
      </c>
      <c r="R40" s="193">
        <f t="shared" si="8"/>
        <v>27.399000000000001</v>
      </c>
      <c r="S40" s="195">
        <v>2.02</v>
      </c>
      <c r="T40" s="193">
        <v>14.9557</v>
      </c>
      <c r="U40" s="193">
        <f t="shared" si="9"/>
        <v>30.210999999999999</v>
      </c>
      <c r="V40" s="198">
        <v>2.6509999999999998</v>
      </c>
      <c r="W40" s="195">
        <v>16.7654</v>
      </c>
      <c r="X40" s="193">
        <f t="shared" si="10"/>
        <v>44.445</v>
      </c>
      <c r="Y40" s="197">
        <v>1.7909999999999999</v>
      </c>
      <c r="Z40" s="195">
        <v>16.7654</v>
      </c>
      <c r="AA40" s="193">
        <f t="shared" si="11"/>
        <v>30.027000000000001</v>
      </c>
      <c r="AB40" s="193">
        <v>2.6</v>
      </c>
      <c r="AC40" s="195">
        <v>16.7654</v>
      </c>
      <c r="AD40" s="193">
        <f t="shared" si="12"/>
        <v>43.59</v>
      </c>
      <c r="AE40" s="193">
        <v>2.39</v>
      </c>
      <c r="AF40" s="195">
        <v>16.7654</v>
      </c>
      <c r="AG40" s="193">
        <f t="shared" si="13"/>
        <v>40.069000000000003</v>
      </c>
      <c r="AH40" s="198">
        <v>1.9930000000000001</v>
      </c>
      <c r="AI40" s="195">
        <v>16.7654</v>
      </c>
      <c r="AJ40" s="193">
        <f t="shared" si="14"/>
        <v>33.412999999999997</v>
      </c>
      <c r="AK40" s="193">
        <v>1.569</v>
      </c>
      <c r="AL40" s="195">
        <v>16.7654</v>
      </c>
      <c r="AM40" s="193">
        <f t="shared" si="15"/>
        <v>26.305</v>
      </c>
      <c r="AN40" s="193">
        <f t="shared" si="1"/>
        <v>32.372</v>
      </c>
      <c r="AO40" s="193">
        <f t="shared" si="16"/>
        <v>507.66100000000006</v>
      </c>
      <c r="AR40" s="15">
        <v>18.765999999999998</v>
      </c>
      <c r="AS40" s="14">
        <f t="shared" si="3"/>
        <v>13.606000000000002</v>
      </c>
    </row>
    <row r="41" spans="1:47" ht="54.75" customHeight="1" x14ac:dyDescent="0.2">
      <c r="A41" s="75" t="s">
        <v>175</v>
      </c>
      <c r="B41" s="85" t="s">
        <v>392</v>
      </c>
      <c r="C41" s="74" t="s">
        <v>280</v>
      </c>
      <c r="D41" s="193">
        <v>26.414999999999999</v>
      </c>
      <c r="E41" s="193">
        <v>14.9557</v>
      </c>
      <c r="F41" s="193">
        <f t="shared" si="4"/>
        <v>395.05500000000001</v>
      </c>
      <c r="G41" s="193">
        <f>20.28+0.293</f>
        <v>20.573</v>
      </c>
      <c r="H41" s="193">
        <v>14.9557</v>
      </c>
      <c r="I41" s="193">
        <f t="shared" si="5"/>
        <v>307.68400000000003</v>
      </c>
      <c r="J41" s="196">
        <v>21.422999999999998</v>
      </c>
      <c r="K41" s="193">
        <v>14.9557</v>
      </c>
      <c r="L41" s="193">
        <f t="shared" si="6"/>
        <v>320.39600000000002</v>
      </c>
      <c r="M41" s="197">
        <v>9.5830000000000002</v>
      </c>
      <c r="N41" s="193">
        <v>14.9557</v>
      </c>
      <c r="O41" s="193">
        <f t="shared" si="7"/>
        <v>143.32</v>
      </c>
      <c r="P41" s="197">
        <v>1.579</v>
      </c>
      <c r="Q41" s="193">
        <v>14.9557</v>
      </c>
      <c r="R41" s="193">
        <f t="shared" si="8"/>
        <v>23.614999999999998</v>
      </c>
      <c r="S41" s="195">
        <v>2.544</v>
      </c>
      <c r="T41" s="193">
        <v>14.9557</v>
      </c>
      <c r="U41" s="193">
        <f t="shared" si="9"/>
        <v>38.046999999999997</v>
      </c>
      <c r="V41" s="198">
        <v>1.0620000000000001</v>
      </c>
      <c r="W41" s="195">
        <v>16.7654</v>
      </c>
      <c r="X41" s="193">
        <f t="shared" si="10"/>
        <v>17.805</v>
      </c>
      <c r="Y41" s="197">
        <v>1.6850000000000001</v>
      </c>
      <c r="Z41" s="195">
        <v>16.7654</v>
      </c>
      <c r="AA41" s="193">
        <f t="shared" si="11"/>
        <v>28.25</v>
      </c>
      <c r="AB41" s="193">
        <v>1.444</v>
      </c>
      <c r="AC41" s="195">
        <v>16.7654</v>
      </c>
      <c r="AD41" s="193">
        <f t="shared" si="12"/>
        <v>24.209</v>
      </c>
      <c r="AE41" s="193">
        <f>1.402+5.16</f>
        <v>6.5620000000000003</v>
      </c>
      <c r="AF41" s="195">
        <v>16.7654</v>
      </c>
      <c r="AG41" s="193">
        <f t="shared" si="13"/>
        <v>110.015</v>
      </c>
      <c r="AH41" s="198">
        <f>1.346+14.6</f>
        <v>15.946</v>
      </c>
      <c r="AI41" s="195">
        <v>16.7654</v>
      </c>
      <c r="AJ41" s="193">
        <f t="shared" si="14"/>
        <v>267.34100000000001</v>
      </c>
      <c r="AK41" s="193">
        <f>1.584+20.64</f>
        <v>22.224</v>
      </c>
      <c r="AL41" s="195">
        <v>16.7654</v>
      </c>
      <c r="AM41" s="193">
        <f t="shared" si="15"/>
        <v>372.59399999999999</v>
      </c>
      <c r="AN41" s="193">
        <f t="shared" si="1"/>
        <v>131.04</v>
      </c>
      <c r="AO41" s="193">
        <f t="shared" si="16"/>
        <v>2048.3310000000001</v>
      </c>
      <c r="AR41" s="15">
        <v>106</v>
      </c>
      <c r="AS41" s="14">
        <f t="shared" si="3"/>
        <v>25.039999999999992</v>
      </c>
    </row>
    <row r="42" spans="1:47" ht="55.5" customHeight="1" x14ac:dyDescent="0.2">
      <c r="A42" s="75" t="s">
        <v>176</v>
      </c>
      <c r="B42" s="85" t="s">
        <v>393</v>
      </c>
      <c r="C42" s="74" t="s">
        <v>280</v>
      </c>
      <c r="D42" s="193">
        <v>5.29</v>
      </c>
      <c r="E42" s="193">
        <v>14.9557</v>
      </c>
      <c r="F42" s="193">
        <f t="shared" si="4"/>
        <v>79.116</v>
      </c>
      <c r="G42" s="193">
        <v>3.07</v>
      </c>
      <c r="H42" s="193">
        <v>14.9557</v>
      </c>
      <c r="I42" s="193">
        <f t="shared" si="5"/>
        <v>45.914000000000001</v>
      </c>
      <c r="J42" s="196">
        <v>2.71</v>
      </c>
      <c r="K42" s="193">
        <v>14.9557</v>
      </c>
      <c r="L42" s="193">
        <f t="shared" si="6"/>
        <v>40.53</v>
      </c>
      <c r="M42" s="197">
        <v>3.35</v>
      </c>
      <c r="N42" s="193">
        <v>14.9557</v>
      </c>
      <c r="O42" s="193">
        <f t="shared" si="7"/>
        <v>50.101999999999997</v>
      </c>
      <c r="P42" s="197">
        <v>2.41</v>
      </c>
      <c r="Q42" s="193">
        <v>14.9557</v>
      </c>
      <c r="R42" s="193">
        <f t="shared" si="8"/>
        <v>36.042999999999999</v>
      </c>
      <c r="S42" s="195">
        <v>1.81</v>
      </c>
      <c r="T42" s="193">
        <v>14.9557</v>
      </c>
      <c r="U42" s="193">
        <f t="shared" si="9"/>
        <v>27.07</v>
      </c>
      <c r="V42" s="198">
        <v>2.67</v>
      </c>
      <c r="W42" s="195">
        <v>16.7654</v>
      </c>
      <c r="X42" s="193">
        <f t="shared" si="10"/>
        <v>44.764000000000003</v>
      </c>
      <c r="Y42" s="197">
        <v>2.93</v>
      </c>
      <c r="Z42" s="195">
        <v>16.7654</v>
      </c>
      <c r="AA42" s="193">
        <f t="shared" si="11"/>
        <v>49.122999999999998</v>
      </c>
      <c r="AB42" s="193">
        <v>2.85</v>
      </c>
      <c r="AC42" s="195">
        <v>16.7654</v>
      </c>
      <c r="AD42" s="193">
        <f t="shared" si="12"/>
        <v>47.780999999999999</v>
      </c>
      <c r="AE42" s="193">
        <v>2.83</v>
      </c>
      <c r="AF42" s="195">
        <v>16.7654</v>
      </c>
      <c r="AG42" s="193">
        <f t="shared" si="13"/>
        <v>47.445999999999998</v>
      </c>
      <c r="AH42" s="198">
        <v>2.65</v>
      </c>
      <c r="AI42" s="195">
        <v>16.7654</v>
      </c>
      <c r="AJ42" s="193">
        <f t="shared" si="14"/>
        <v>44.427999999999997</v>
      </c>
      <c r="AK42" s="193">
        <v>1.27</v>
      </c>
      <c r="AL42" s="195">
        <v>16.7654</v>
      </c>
      <c r="AM42" s="193">
        <f t="shared" si="15"/>
        <v>21.292000000000002</v>
      </c>
      <c r="AN42" s="193">
        <f t="shared" si="1"/>
        <v>33.839999999999996</v>
      </c>
      <c r="AO42" s="193">
        <f t="shared" si="16"/>
        <v>533.60900000000004</v>
      </c>
      <c r="AP42" s="16"/>
      <c r="AR42" s="15">
        <v>31.299999999999997</v>
      </c>
      <c r="AS42" s="14">
        <f t="shared" si="3"/>
        <v>2.5399999999999991</v>
      </c>
    </row>
    <row r="43" spans="1:47" ht="50.25" customHeight="1" x14ac:dyDescent="0.2">
      <c r="A43" s="75" t="s">
        <v>177</v>
      </c>
      <c r="B43" s="85" t="s">
        <v>375</v>
      </c>
      <c r="C43" s="74" t="s">
        <v>280</v>
      </c>
      <c r="D43" s="193">
        <v>2.0249999999999999</v>
      </c>
      <c r="E43" s="193">
        <v>14.9557</v>
      </c>
      <c r="F43" s="193">
        <f t="shared" si="4"/>
        <v>30.285</v>
      </c>
      <c r="G43" s="193">
        <v>1.855</v>
      </c>
      <c r="H43" s="193">
        <v>14.9557</v>
      </c>
      <c r="I43" s="193">
        <f t="shared" si="5"/>
        <v>27.742999999999999</v>
      </c>
      <c r="J43" s="196">
        <v>1.948</v>
      </c>
      <c r="K43" s="193">
        <v>14.9557</v>
      </c>
      <c r="L43" s="193">
        <f t="shared" si="6"/>
        <v>29.134</v>
      </c>
      <c r="M43" s="197">
        <v>1.6779999999999999</v>
      </c>
      <c r="N43" s="193">
        <v>14.9557</v>
      </c>
      <c r="O43" s="193">
        <f t="shared" si="7"/>
        <v>25.096</v>
      </c>
      <c r="P43" s="197">
        <v>1.492</v>
      </c>
      <c r="Q43" s="193">
        <v>14.9557</v>
      </c>
      <c r="R43" s="193">
        <f t="shared" si="8"/>
        <v>22.314</v>
      </c>
      <c r="S43" s="195">
        <v>1.6859999999999999</v>
      </c>
      <c r="T43" s="193">
        <v>14.9557</v>
      </c>
      <c r="U43" s="193">
        <f t="shared" si="9"/>
        <v>25.215</v>
      </c>
      <c r="V43" s="198">
        <v>0.872</v>
      </c>
      <c r="W43" s="195">
        <v>16.7654</v>
      </c>
      <c r="X43" s="193">
        <f t="shared" si="10"/>
        <v>14.619</v>
      </c>
      <c r="Y43" s="197">
        <v>1.194</v>
      </c>
      <c r="Z43" s="195">
        <v>16.7654</v>
      </c>
      <c r="AA43" s="193">
        <f t="shared" si="11"/>
        <v>20.018000000000001</v>
      </c>
      <c r="AB43" s="193">
        <v>1.6950000000000001</v>
      </c>
      <c r="AC43" s="195">
        <v>16.7654</v>
      </c>
      <c r="AD43" s="193">
        <f t="shared" si="12"/>
        <v>28.417000000000002</v>
      </c>
      <c r="AE43" s="193">
        <v>1.2809999999999999</v>
      </c>
      <c r="AF43" s="195">
        <v>16.7654</v>
      </c>
      <c r="AG43" s="193">
        <f t="shared" si="13"/>
        <v>21.475999999999999</v>
      </c>
      <c r="AH43" s="198">
        <v>2.044</v>
      </c>
      <c r="AI43" s="195">
        <v>16.7654</v>
      </c>
      <c r="AJ43" s="193">
        <f t="shared" si="14"/>
        <v>34.268000000000001</v>
      </c>
      <c r="AK43" s="193">
        <v>1.544</v>
      </c>
      <c r="AL43" s="195">
        <v>16.7654</v>
      </c>
      <c r="AM43" s="193">
        <f t="shared" si="15"/>
        <v>25.885999999999999</v>
      </c>
      <c r="AN43" s="193">
        <f t="shared" si="1"/>
        <v>19.314</v>
      </c>
      <c r="AO43" s="193">
        <f t="shared" si="16"/>
        <v>304.47100000000006</v>
      </c>
      <c r="AR43" s="15">
        <v>19.734999999999996</v>
      </c>
      <c r="AS43" s="14">
        <f t="shared" si="3"/>
        <v>-0.42099999999999582</v>
      </c>
    </row>
    <row r="44" spans="1:47" ht="45.75" customHeight="1" x14ac:dyDescent="0.2">
      <c r="A44" s="75" t="s">
        <v>178</v>
      </c>
      <c r="B44" s="85" t="s">
        <v>376</v>
      </c>
      <c r="C44" s="74" t="s">
        <v>280</v>
      </c>
      <c r="D44" s="193">
        <v>2.8</v>
      </c>
      <c r="E44" s="193">
        <v>12.7224</v>
      </c>
      <c r="F44" s="193">
        <f t="shared" si="4"/>
        <v>35.622999999999998</v>
      </c>
      <c r="G44" s="193">
        <v>3</v>
      </c>
      <c r="H44" s="193">
        <v>12.7224</v>
      </c>
      <c r="I44" s="193">
        <f t="shared" si="5"/>
        <v>38.167000000000002</v>
      </c>
      <c r="J44" s="196">
        <v>3.38</v>
      </c>
      <c r="K44" s="193">
        <v>12.7224</v>
      </c>
      <c r="L44" s="193">
        <f t="shared" si="6"/>
        <v>43.002000000000002</v>
      </c>
      <c r="M44" s="197">
        <v>2.86</v>
      </c>
      <c r="N44" s="193">
        <v>12.7224</v>
      </c>
      <c r="O44" s="193">
        <f t="shared" si="7"/>
        <v>36.386000000000003</v>
      </c>
      <c r="P44" s="197">
        <v>2.1800000000000002</v>
      </c>
      <c r="Q44" s="193">
        <v>12.7224</v>
      </c>
      <c r="R44" s="193">
        <f t="shared" si="8"/>
        <v>27.734999999999999</v>
      </c>
      <c r="S44" s="195">
        <v>2.16</v>
      </c>
      <c r="T44" s="193">
        <v>12.7224</v>
      </c>
      <c r="U44" s="193">
        <f t="shared" si="9"/>
        <v>27.48</v>
      </c>
      <c r="V44" s="198">
        <v>1.18</v>
      </c>
      <c r="W44" s="195">
        <v>14.261799999999999</v>
      </c>
      <c r="X44" s="193">
        <f t="shared" si="10"/>
        <v>16.829000000000001</v>
      </c>
      <c r="Y44" s="197">
        <v>2.02</v>
      </c>
      <c r="Z44" s="195">
        <v>14.261799999999999</v>
      </c>
      <c r="AA44" s="193">
        <f t="shared" si="11"/>
        <v>28.809000000000001</v>
      </c>
      <c r="AB44" s="193">
        <v>2.2599999999999998</v>
      </c>
      <c r="AC44" s="195">
        <v>14.261799999999999</v>
      </c>
      <c r="AD44" s="193">
        <f t="shared" si="12"/>
        <v>32.231999999999999</v>
      </c>
      <c r="AE44" s="193">
        <v>2.72</v>
      </c>
      <c r="AF44" s="195">
        <v>14.261799999999999</v>
      </c>
      <c r="AG44" s="193">
        <f t="shared" si="13"/>
        <v>38.792000000000002</v>
      </c>
      <c r="AH44" s="198">
        <v>2.96</v>
      </c>
      <c r="AI44" s="195">
        <v>14.261799999999999</v>
      </c>
      <c r="AJ44" s="193">
        <f t="shared" si="14"/>
        <v>42.215000000000003</v>
      </c>
      <c r="AK44" s="193">
        <v>3.34</v>
      </c>
      <c r="AL44" s="195">
        <v>14.261799999999999</v>
      </c>
      <c r="AM44" s="193">
        <f t="shared" si="15"/>
        <v>47.634</v>
      </c>
      <c r="AN44" s="193">
        <f t="shared" si="1"/>
        <v>30.859999999999996</v>
      </c>
      <c r="AO44" s="193">
        <f t="shared" si="16"/>
        <v>414.90400000000011</v>
      </c>
      <c r="AR44" s="15">
        <v>31.28</v>
      </c>
      <c r="AS44" s="14">
        <f t="shared" si="3"/>
        <v>-0.42000000000000526</v>
      </c>
      <c r="AU44" s="78">
        <v>2</v>
      </c>
    </row>
    <row r="45" spans="1:47" ht="51" customHeight="1" x14ac:dyDescent="0.2">
      <c r="A45" s="75" t="s">
        <v>179</v>
      </c>
      <c r="B45" s="85" t="s">
        <v>355</v>
      </c>
      <c r="C45" s="74" t="s">
        <v>280</v>
      </c>
      <c r="D45" s="193">
        <f>4.083+1.72</f>
        <v>5.8029999999999999</v>
      </c>
      <c r="E45" s="193">
        <v>14.9557</v>
      </c>
      <c r="F45" s="193">
        <f t="shared" si="4"/>
        <v>86.787999999999997</v>
      </c>
      <c r="G45" s="193">
        <v>4.1630000000000003</v>
      </c>
      <c r="H45" s="193">
        <v>14.9557</v>
      </c>
      <c r="I45" s="193">
        <f t="shared" si="5"/>
        <v>62.261000000000003</v>
      </c>
      <c r="J45" s="196">
        <v>4.8029999999999999</v>
      </c>
      <c r="K45" s="193">
        <v>14.9557</v>
      </c>
      <c r="L45" s="193">
        <f t="shared" si="6"/>
        <v>71.831999999999994</v>
      </c>
      <c r="M45" s="197">
        <v>5.0030000000000001</v>
      </c>
      <c r="N45" s="193">
        <v>14.9557</v>
      </c>
      <c r="O45" s="193">
        <f t="shared" si="7"/>
        <v>74.822999999999993</v>
      </c>
      <c r="P45" s="197">
        <v>5.1630000000000003</v>
      </c>
      <c r="Q45" s="193">
        <v>14.9557</v>
      </c>
      <c r="R45" s="193">
        <f t="shared" si="8"/>
        <v>77.215999999999994</v>
      </c>
      <c r="S45" s="195">
        <v>5.4429999999999996</v>
      </c>
      <c r="T45" s="193">
        <v>14.9557</v>
      </c>
      <c r="U45" s="193">
        <f t="shared" si="9"/>
        <v>81.403999999999996</v>
      </c>
      <c r="V45" s="198">
        <v>4.843</v>
      </c>
      <c r="W45" s="195">
        <v>16.7654</v>
      </c>
      <c r="X45" s="193">
        <f t="shared" si="10"/>
        <v>81.194999999999993</v>
      </c>
      <c r="Y45" s="197">
        <v>5.2830000000000004</v>
      </c>
      <c r="Z45" s="195">
        <v>16.7654</v>
      </c>
      <c r="AA45" s="193">
        <f t="shared" si="11"/>
        <v>88.572000000000003</v>
      </c>
      <c r="AB45" s="193">
        <v>3.7629999999999999</v>
      </c>
      <c r="AC45" s="195">
        <v>16.7654</v>
      </c>
      <c r="AD45" s="193">
        <f t="shared" si="12"/>
        <v>63.088000000000001</v>
      </c>
      <c r="AE45" s="193">
        <v>4.7629999999999999</v>
      </c>
      <c r="AF45" s="195">
        <v>16.7654</v>
      </c>
      <c r="AG45" s="193">
        <f t="shared" si="13"/>
        <v>79.853999999999999</v>
      </c>
      <c r="AH45" s="198">
        <v>3.4430000000000001</v>
      </c>
      <c r="AI45" s="195">
        <v>16.7654</v>
      </c>
      <c r="AJ45" s="193">
        <f t="shared" si="14"/>
        <v>57.722999999999999</v>
      </c>
      <c r="AK45" s="193">
        <f>4.883</f>
        <v>4.883</v>
      </c>
      <c r="AL45" s="195">
        <v>16.7654</v>
      </c>
      <c r="AM45" s="193">
        <f t="shared" si="15"/>
        <v>81.864999999999995</v>
      </c>
      <c r="AN45" s="193">
        <f t="shared" si="1"/>
        <v>57.356000000000002</v>
      </c>
      <c r="AO45" s="193">
        <f t="shared" si="16"/>
        <v>906.62099999999998</v>
      </c>
      <c r="AP45" s="16"/>
      <c r="AR45" s="15">
        <v>46.555999999999997</v>
      </c>
      <c r="AS45" s="14">
        <f t="shared" si="3"/>
        <v>10.800000000000004</v>
      </c>
    </row>
    <row r="46" spans="1:47" ht="51" customHeight="1" x14ac:dyDescent="0.2">
      <c r="A46" s="75" t="s">
        <v>180</v>
      </c>
      <c r="B46" s="85" t="s">
        <v>356</v>
      </c>
      <c r="C46" s="74" t="s">
        <v>280</v>
      </c>
      <c r="D46" s="193">
        <v>8.3450000000000006</v>
      </c>
      <c r="E46" s="193">
        <v>13.142899999999999</v>
      </c>
      <c r="F46" s="193">
        <f t="shared" si="4"/>
        <v>109.678</v>
      </c>
      <c r="G46" s="193">
        <f>1.684+11.104</f>
        <v>12.787999999999998</v>
      </c>
      <c r="H46" s="193">
        <v>13.142899999999999</v>
      </c>
      <c r="I46" s="193">
        <f t="shared" si="5"/>
        <v>168.071</v>
      </c>
      <c r="J46" s="196">
        <f>1.424+7.273</f>
        <v>8.6969999999999992</v>
      </c>
      <c r="K46" s="193">
        <v>13.142899999999999</v>
      </c>
      <c r="L46" s="193">
        <f t="shared" si="6"/>
        <v>114.304</v>
      </c>
      <c r="M46" s="197">
        <f>1.998+6.925</f>
        <v>8.923</v>
      </c>
      <c r="N46" s="193">
        <v>13.142899999999999</v>
      </c>
      <c r="O46" s="193">
        <f t="shared" si="7"/>
        <v>117.274</v>
      </c>
      <c r="P46" s="197">
        <f>1.681+8.212</f>
        <v>9.8930000000000007</v>
      </c>
      <c r="Q46" s="193">
        <v>13.142899999999999</v>
      </c>
      <c r="R46" s="193">
        <f t="shared" si="8"/>
        <v>130.023</v>
      </c>
      <c r="S46" s="195">
        <v>6.4160000000000004</v>
      </c>
      <c r="T46" s="193">
        <v>13.142899999999999</v>
      </c>
      <c r="U46" s="193">
        <f t="shared" si="9"/>
        <v>84.325000000000003</v>
      </c>
      <c r="V46" s="198">
        <f>1.847+5.141</f>
        <v>6.9879999999999995</v>
      </c>
      <c r="W46" s="195">
        <v>14.7331</v>
      </c>
      <c r="X46" s="193">
        <f t="shared" si="10"/>
        <v>102.955</v>
      </c>
      <c r="Y46" s="197">
        <f>9.049</f>
        <v>9.0489999999999995</v>
      </c>
      <c r="Z46" s="195">
        <v>14.7331</v>
      </c>
      <c r="AA46" s="193">
        <f t="shared" si="11"/>
        <v>133.32</v>
      </c>
      <c r="AB46" s="193">
        <f>1.641+5.172</f>
        <v>6.8129999999999997</v>
      </c>
      <c r="AC46" s="195">
        <v>14.7331</v>
      </c>
      <c r="AD46" s="193">
        <f t="shared" si="12"/>
        <v>100.377</v>
      </c>
      <c r="AE46" s="193">
        <f>2.402+7.524</f>
        <v>9.9260000000000002</v>
      </c>
      <c r="AF46" s="195">
        <v>14.7331</v>
      </c>
      <c r="AG46" s="193">
        <f t="shared" si="13"/>
        <v>146.24100000000001</v>
      </c>
      <c r="AH46" s="198">
        <f>1.697+7.164</f>
        <v>8.8610000000000007</v>
      </c>
      <c r="AI46" s="195">
        <v>14.7331</v>
      </c>
      <c r="AJ46" s="193">
        <f t="shared" si="14"/>
        <v>130.55000000000001</v>
      </c>
      <c r="AK46" s="193">
        <f>1.767+7.223</f>
        <v>8.99</v>
      </c>
      <c r="AL46" s="195">
        <v>14.7331</v>
      </c>
      <c r="AM46" s="193">
        <f t="shared" si="15"/>
        <v>132.45099999999999</v>
      </c>
      <c r="AN46" s="193">
        <f t="shared" si="1"/>
        <v>105.68899999999999</v>
      </c>
      <c r="AO46" s="193">
        <f t="shared" si="16"/>
        <v>1469.569</v>
      </c>
      <c r="AR46" s="15">
        <v>96.337999999999994</v>
      </c>
      <c r="AS46" s="14">
        <f t="shared" si="3"/>
        <v>9.3509999999999991</v>
      </c>
      <c r="AT46" s="69"/>
      <c r="AU46" s="78"/>
    </row>
    <row r="47" spans="1:47" ht="54" customHeight="1" x14ac:dyDescent="0.2">
      <c r="A47" s="75" t="s">
        <v>181</v>
      </c>
      <c r="B47" s="85" t="s">
        <v>377</v>
      </c>
      <c r="C47" s="74" t="s">
        <v>280</v>
      </c>
      <c r="D47" s="193">
        <v>3.3420000000000001</v>
      </c>
      <c r="E47" s="193">
        <v>14.9557</v>
      </c>
      <c r="F47" s="193">
        <f t="shared" si="4"/>
        <v>49.981999999999999</v>
      </c>
      <c r="G47" s="193">
        <v>2.8719999999999999</v>
      </c>
      <c r="H47" s="193">
        <v>14.9557</v>
      </c>
      <c r="I47" s="193">
        <f t="shared" si="5"/>
        <v>42.953000000000003</v>
      </c>
      <c r="J47" s="196">
        <v>2.6259999999999999</v>
      </c>
      <c r="K47" s="193">
        <v>14.9557</v>
      </c>
      <c r="L47" s="193">
        <f t="shared" si="6"/>
        <v>39.274000000000001</v>
      </c>
      <c r="M47" s="197">
        <v>2.9889999999999999</v>
      </c>
      <c r="N47" s="193">
        <v>14.9557</v>
      </c>
      <c r="O47" s="193">
        <f t="shared" si="7"/>
        <v>44.703000000000003</v>
      </c>
      <c r="P47" s="197">
        <v>2.859</v>
      </c>
      <c r="Q47" s="193">
        <v>14.9557</v>
      </c>
      <c r="R47" s="193">
        <f t="shared" si="8"/>
        <v>42.758000000000003</v>
      </c>
      <c r="S47" s="195">
        <v>1.23</v>
      </c>
      <c r="T47" s="193">
        <v>14.9557</v>
      </c>
      <c r="U47" s="193">
        <f t="shared" si="9"/>
        <v>18.396000000000001</v>
      </c>
      <c r="V47" s="198">
        <v>1.798</v>
      </c>
      <c r="W47" s="195">
        <v>14.85728669201521</v>
      </c>
      <c r="X47" s="193">
        <f t="shared" si="10"/>
        <v>26.713000000000001</v>
      </c>
      <c r="Y47" s="197">
        <v>2.6829999999999998</v>
      </c>
      <c r="Z47" s="195">
        <v>14.85728669201521</v>
      </c>
      <c r="AA47" s="193">
        <f t="shared" si="11"/>
        <v>39.862000000000002</v>
      </c>
      <c r="AB47" s="193">
        <v>2.4369999999999998</v>
      </c>
      <c r="AC47" s="195">
        <v>14.85728669201521</v>
      </c>
      <c r="AD47" s="193">
        <f t="shared" si="12"/>
        <v>36.207000000000001</v>
      </c>
      <c r="AE47" s="193">
        <v>3.367</v>
      </c>
      <c r="AF47" s="195">
        <v>14.85728669201521</v>
      </c>
      <c r="AG47" s="193">
        <f t="shared" si="13"/>
        <v>50.024000000000001</v>
      </c>
      <c r="AH47" s="198">
        <v>2.8929999999999998</v>
      </c>
      <c r="AI47" s="195">
        <v>14.85728669201521</v>
      </c>
      <c r="AJ47" s="193">
        <f t="shared" si="14"/>
        <v>42.981999999999999</v>
      </c>
      <c r="AK47" s="193">
        <v>3.2</v>
      </c>
      <c r="AL47" s="195">
        <v>14.85728669201521</v>
      </c>
      <c r="AM47" s="193">
        <f t="shared" si="15"/>
        <v>47.542999999999999</v>
      </c>
      <c r="AN47" s="193">
        <f t="shared" si="1"/>
        <v>32.296000000000006</v>
      </c>
      <c r="AO47" s="193">
        <f t="shared" si="16"/>
        <v>481.39700000000005</v>
      </c>
      <c r="AR47" s="15">
        <v>28.823999999999998</v>
      </c>
      <c r="AS47" s="14">
        <f t="shared" si="3"/>
        <v>3.4720000000000084</v>
      </c>
      <c r="AU47" s="78"/>
    </row>
    <row r="48" spans="1:47" ht="54.75" customHeight="1" x14ac:dyDescent="0.2">
      <c r="A48" s="75" t="s">
        <v>182</v>
      </c>
      <c r="B48" s="85" t="s">
        <v>357</v>
      </c>
      <c r="C48" s="74" t="s">
        <v>280</v>
      </c>
      <c r="D48" s="193">
        <v>4.82</v>
      </c>
      <c r="E48" s="193">
        <v>12.7224</v>
      </c>
      <c r="F48" s="193">
        <f t="shared" si="4"/>
        <v>61.322000000000003</v>
      </c>
      <c r="G48" s="193">
        <v>5.0999999999999996</v>
      </c>
      <c r="H48" s="193">
        <v>12.7224</v>
      </c>
      <c r="I48" s="193">
        <f t="shared" si="5"/>
        <v>64.884</v>
      </c>
      <c r="J48" s="196">
        <v>5</v>
      </c>
      <c r="K48" s="193">
        <v>12.7224</v>
      </c>
      <c r="L48" s="193">
        <f t="shared" si="6"/>
        <v>63.612000000000002</v>
      </c>
      <c r="M48" s="197">
        <v>5.2</v>
      </c>
      <c r="N48" s="193">
        <v>12.7224</v>
      </c>
      <c r="O48" s="193">
        <f t="shared" si="7"/>
        <v>66.156000000000006</v>
      </c>
      <c r="P48" s="197">
        <v>4.7</v>
      </c>
      <c r="Q48" s="193">
        <v>12.7224</v>
      </c>
      <c r="R48" s="193">
        <f t="shared" si="8"/>
        <v>59.795000000000002</v>
      </c>
      <c r="S48" s="195">
        <v>3.8</v>
      </c>
      <c r="T48" s="193">
        <v>12.7224</v>
      </c>
      <c r="U48" s="193">
        <f t="shared" si="9"/>
        <v>48.344999999999999</v>
      </c>
      <c r="V48" s="198">
        <v>3</v>
      </c>
      <c r="W48" s="195">
        <v>14.261799999999999</v>
      </c>
      <c r="X48" s="193">
        <f t="shared" si="10"/>
        <v>42.784999999999997</v>
      </c>
      <c r="Y48" s="197">
        <v>4.2</v>
      </c>
      <c r="Z48" s="195">
        <v>14.261799999999999</v>
      </c>
      <c r="AA48" s="193">
        <f t="shared" si="11"/>
        <v>59.9</v>
      </c>
      <c r="AB48" s="193">
        <v>3.8</v>
      </c>
      <c r="AC48" s="195">
        <v>14.261799999999999</v>
      </c>
      <c r="AD48" s="193">
        <f t="shared" si="12"/>
        <v>54.195</v>
      </c>
      <c r="AE48" s="193">
        <v>5.5</v>
      </c>
      <c r="AF48" s="195">
        <v>14.261799999999999</v>
      </c>
      <c r="AG48" s="193">
        <f t="shared" si="13"/>
        <v>78.44</v>
      </c>
      <c r="AH48" s="198">
        <v>5.3</v>
      </c>
      <c r="AI48" s="195">
        <v>14.261799999999999</v>
      </c>
      <c r="AJ48" s="193">
        <f t="shared" si="14"/>
        <v>75.587999999999994</v>
      </c>
      <c r="AK48" s="193">
        <v>7.5</v>
      </c>
      <c r="AL48" s="195">
        <v>14.261799999999999</v>
      </c>
      <c r="AM48" s="193">
        <f t="shared" si="15"/>
        <v>106.964</v>
      </c>
      <c r="AN48" s="193">
        <f t="shared" si="1"/>
        <v>57.919999999999995</v>
      </c>
      <c r="AO48" s="193">
        <f t="shared" si="16"/>
        <v>781.98599999999988</v>
      </c>
      <c r="AR48" s="15">
        <v>59.300000000000004</v>
      </c>
      <c r="AS48" s="14">
        <f t="shared" si="3"/>
        <v>-1.3800000000000097</v>
      </c>
    </row>
    <row r="49" spans="1:47" ht="49.5" customHeight="1" x14ac:dyDescent="0.2">
      <c r="A49" s="75" t="s">
        <v>183</v>
      </c>
      <c r="B49" s="85" t="s">
        <v>380</v>
      </c>
      <c r="C49" s="74" t="s">
        <v>280</v>
      </c>
      <c r="D49" s="193">
        <v>0.77800000000000002</v>
      </c>
      <c r="E49" s="193">
        <v>14.9557</v>
      </c>
      <c r="F49" s="193">
        <f t="shared" si="4"/>
        <v>11.635999999999999</v>
      </c>
      <c r="G49" s="193">
        <v>0.73</v>
      </c>
      <c r="H49" s="193">
        <v>14.9557</v>
      </c>
      <c r="I49" s="193">
        <f t="shared" si="5"/>
        <v>10.917999999999999</v>
      </c>
      <c r="J49" s="196">
        <v>0.80200000000000005</v>
      </c>
      <c r="K49" s="193">
        <v>14.9557</v>
      </c>
      <c r="L49" s="193">
        <f t="shared" si="6"/>
        <v>11.994</v>
      </c>
      <c r="M49" s="197">
        <v>0.79800000000000004</v>
      </c>
      <c r="N49" s="193">
        <v>14.9557</v>
      </c>
      <c r="O49" s="193">
        <f t="shared" si="7"/>
        <v>11.935</v>
      </c>
      <c r="P49" s="197">
        <v>0.59099999999999997</v>
      </c>
      <c r="Q49" s="193">
        <v>14.9557</v>
      </c>
      <c r="R49" s="193">
        <f t="shared" si="8"/>
        <v>8.8390000000000004</v>
      </c>
      <c r="S49" s="195">
        <v>0.66800000000000004</v>
      </c>
      <c r="T49" s="193">
        <v>14.9557</v>
      </c>
      <c r="U49" s="193">
        <f t="shared" si="9"/>
        <v>9.99</v>
      </c>
      <c r="V49" s="198">
        <v>0.60499999999999998</v>
      </c>
      <c r="W49" s="195">
        <v>16.7654</v>
      </c>
      <c r="X49" s="193">
        <f t="shared" si="10"/>
        <v>10.143000000000001</v>
      </c>
      <c r="Y49" s="197">
        <v>0.82</v>
      </c>
      <c r="Z49" s="195">
        <v>16.7654</v>
      </c>
      <c r="AA49" s="193">
        <f t="shared" si="11"/>
        <v>13.747999999999999</v>
      </c>
      <c r="AB49" s="193">
        <v>0.69</v>
      </c>
      <c r="AC49" s="195">
        <v>16.7654</v>
      </c>
      <c r="AD49" s="193">
        <f t="shared" si="12"/>
        <v>11.568</v>
      </c>
      <c r="AE49" s="193">
        <v>0.72399999999999998</v>
      </c>
      <c r="AF49" s="195">
        <v>16.7654</v>
      </c>
      <c r="AG49" s="193">
        <f t="shared" si="13"/>
        <v>12.138</v>
      </c>
      <c r="AH49" s="198">
        <v>0.82799999999999996</v>
      </c>
      <c r="AI49" s="195">
        <v>16.7654</v>
      </c>
      <c r="AJ49" s="193">
        <f t="shared" si="14"/>
        <v>13.882</v>
      </c>
      <c r="AK49" s="193">
        <v>0.86299999999999999</v>
      </c>
      <c r="AL49" s="195">
        <v>16.7654</v>
      </c>
      <c r="AM49" s="193">
        <f t="shared" si="15"/>
        <v>14.468999999999999</v>
      </c>
      <c r="AN49" s="193">
        <f t="shared" si="1"/>
        <v>8.8969999999999985</v>
      </c>
      <c r="AO49" s="193">
        <f t="shared" si="16"/>
        <v>141.26000000000002</v>
      </c>
      <c r="AR49" s="15">
        <v>7.9859999999999989</v>
      </c>
      <c r="AS49" s="14">
        <f t="shared" si="3"/>
        <v>0.91099999999999959</v>
      </c>
    </row>
    <row r="50" spans="1:47" ht="54" customHeight="1" x14ac:dyDescent="0.2">
      <c r="A50" s="75" t="s">
        <v>184</v>
      </c>
      <c r="B50" s="85" t="s">
        <v>396</v>
      </c>
      <c r="C50" s="74" t="s">
        <v>280</v>
      </c>
      <c r="D50" s="193">
        <v>17.376000000000001</v>
      </c>
      <c r="E50" s="193">
        <v>14.9557</v>
      </c>
      <c r="F50" s="193">
        <f t="shared" si="4"/>
        <v>259.87</v>
      </c>
      <c r="G50" s="193">
        <v>17.981000000000002</v>
      </c>
      <c r="H50" s="193">
        <v>14.9557</v>
      </c>
      <c r="I50" s="193">
        <f t="shared" si="5"/>
        <v>268.91800000000001</v>
      </c>
      <c r="J50" s="196">
        <v>13.893000000000001</v>
      </c>
      <c r="K50" s="193">
        <v>14.9557</v>
      </c>
      <c r="L50" s="193">
        <f t="shared" si="6"/>
        <v>207.78</v>
      </c>
      <c r="M50" s="197">
        <v>6.8620000000000001</v>
      </c>
      <c r="N50" s="193">
        <v>14.9557</v>
      </c>
      <c r="O50" s="193">
        <f t="shared" si="7"/>
        <v>102.626</v>
      </c>
      <c r="P50" s="197">
        <v>2.2999999999999998</v>
      </c>
      <c r="Q50" s="193">
        <v>14.9557</v>
      </c>
      <c r="R50" s="193">
        <f t="shared" si="8"/>
        <v>34.398000000000003</v>
      </c>
      <c r="S50" s="193">
        <v>1.0389999999999999</v>
      </c>
      <c r="T50" s="193">
        <v>14.9557</v>
      </c>
      <c r="U50" s="193">
        <f t="shared" si="9"/>
        <v>15.539</v>
      </c>
      <c r="V50" s="198">
        <v>0.64</v>
      </c>
      <c r="W50" s="195">
        <v>16.7654</v>
      </c>
      <c r="X50" s="193">
        <f t="shared" si="10"/>
        <v>10.73</v>
      </c>
      <c r="Y50" s="197">
        <v>0.9</v>
      </c>
      <c r="Z50" s="195">
        <v>16.7654</v>
      </c>
      <c r="AA50" s="193">
        <f t="shared" si="11"/>
        <v>15.089</v>
      </c>
      <c r="AB50" s="193">
        <v>1.127</v>
      </c>
      <c r="AC50" s="195">
        <v>16.7654</v>
      </c>
      <c r="AD50" s="193">
        <f t="shared" si="12"/>
        <v>18.895</v>
      </c>
      <c r="AE50" s="193">
        <v>6.8220000000000001</v>
      </c>
      <c r="AF50" s="195">
        <v>16.7654</v>
      </c>
      <c r="AG50" s="193">
        <f t="shared" si="13"/>
        <v>114.374</v>
      </c>
      <c r="AH50" s="198">
        <v>10.553000000000001</v>
      </c>
      <c r="AI50" s="195">
        <v>16.7654</v>
      </c>
      <c r="AJ50" s="193">
        <f t="shared" si="14"/>
        <v>176.92500000000001</v>
      </c>
      <c r="AK50" s="193">
        <v>16.172000000000001</v>
      </c>
      <c r="AL50" s="195">
        <v>16.7654</v>
      </c>
      <c r="AM50" s="193">
        <f t="shared" si="15"/>
        <v>271.13</v>
      </c>
      <c r="AN50" s="193">
        <f t="shared" si="1"/>
        <v>95.664999999999992</v>
      </c>
      <c r="AO50" s="193">
        <f t="shared" si="16"/>
        <v>1496.2739999999999</v>
      </c>
      <c r="AR50" s="15">
        <v>98.028000000000006</v>
      </c>
      <c r="AS50" s="14">
        <f t="shared" si="3"/>
        <v>-2.3630000000000138</v>
      </c>
      <c r="AU50" s="78"/>
    </row>
    <row r="51" spans="1:47" ht="54.75" customHeight="1" x14ac:dyDescent="0.2">
      <c r="A51" s="75" t="s">
        <v>185</v>
      </c>
      <c r="B51" s="85" t="s">
        <v>358</v>
      </c>
      <c r="C51" s="74" t="s">
        <v>280</v>
      </c>
      <c r="D51" s="193">
        <v>10.16</v>
      </c>
      <c r="E51" s="193">
        <v>12.7224</v>
      </c>
      <c r="F51" s="193">
        <f t="shared" si="4"/>
        <v>129.26</v>
      </c>
      <c r="G51" s="193">
        <v>9.76</v>
      </c>
      <c r="H51" s="193">
        <v>12.7224</v>
      </c>
      <c r="I51" s="193">
        <f t="shared" si="5"/>
        <v>124.17100000000001</v>
      </c>
      <c r="J51" s="196">
        <v>10.96</v>
      </c>
      <c r="K51" s="193">
        <v>12.7224</v>
      </c>
      <c r="L51" s="193">
        <f t="shared" si="6"/>
        <v>139.43799999999999</v>
      </c>
      <c r="M51" s="197">
        <v>9.92</v>
      </c>
      <c r="N51" s="193">
        <v>12.7224</v>
      </c>
      <c r="O51" s="193">
        <f t="shared" si="7"/>
        <v>126.206</v>
      </c>
      <c r="P51" s="197">
        <v>10.56</v>
      </c>
      <c r="Q51" s="193">
        <v>12.7224</v>
      </c>
      <c r="R51" s="193">
        <f t="shared" si="8"/>
        <v>134.34899999999999</v>
      </c>
      <c r="S51" s="193">
        <v>9.1199999999999992</v>
      </c>
      <c r="T51" s="193">
        <v>12.7224</v>
      </c>
      <c r="U51" s="193">
        <f t="shared" si="9"/>
        <v>116.02800000000001</v>
      </c>
      <c r="V51" s="198">
        <v>12.56</v>
      </c>
      <c r="W51" s="195">
        <v>14.261799999999999</v>
      </c>
      <c r="X51" s="193">
        <f t="shared" si="10"/>
        <v>179.12799999999999</v>
      </c>
      <c r="Y51" s="197">
        <v>12.56</v>
      </c>
      <c r="Z51" s="195">
        <v>14.261799999999999</v>
      </c>
      <c r="AA51" s="193">
        <f t="shared" si="11"/>
        <v>179.12799999999999</v>
      </c>
      <c r="AB51" s="193">
        <v>11.52</v>
      </c>
      <c r="AC51" s="195">
        <v>14.261799999999999</v>
      </c>
      <c r="AD51" s="193">
        <f t="shared" si="12"/>
        <v>164.29599999999999</v>
      </c>
      <c r="AE51" s="193">
        <v>11.2</v>
      </c>
      <c r="AF51" s="195">
        <v>14.261799999999999</v>
      </c>
      <c r="AG51" s="193">
        <f t="shared" si="13"/>
        <v>159.732</v>
      </c>
      <c r="AH51" s="198">
        <v>9.0399999999999991</v>
      </c>
      <c r="AI51" s="195">
        <v>14.261799999999999</v>
      </c>
      <c r="AJ51" s="193">
        <f t="shared" si="14"/>
        <v>128.92699999999999</v>
      </c>
      <c r="AK51" s="193">
        <v>9.52</v>
      </c>
      <c r="AL51" s="195">
        <v>14.261799999999999</v>
      </c>
      <c r="AM51" s="193">
        <f t="shared" si="15"/>
        <v>135.77199999999999</v>
      </c>
      <c r="AN51" s="193">
        <f t="shared" si="1"/>
        <v>126.88000000000001</v>
      </c>
      <c r="AO51" s="193">
        <f t="shared" si="16"/>
        <v>1716.4349999999997</v>
      </c>
      <c r="AR51" s="15">
        <v>127.36</v>
      </c>
      <c r="AS51" s="14"/>
    </row>
    <row r="52" spans="1:47" ht="34.5" customHeight="1" x14ac:dyDescent="0.2">
      <c r="A52" s="75" t="s">
        <v>186</v>
      </c>
      <c r="B52" s="73" t="s">
        <v>307</v>
      </c>
      <c r="C52" s="74" t="s">
        <v>280</v>
      </c>
      <c r="D52" s="193">
        <v>6.4020000000000001</v>
      </c>
      <c r="E52" s="193">
        <v>12.7224</v>
      </c>
      <c r="F52" s="193">
        <f t="shared" si="4"/>
        <v>81.448999999999998</v>
      </c>
      <c r="G52" s="193">
        <v>5.8689999999999998</v>
      </c>
      <c r="H52" s="193">
        <v>12.7224</v>
      </c>
      <c r="I52" s="193">
        <f t="shared" si="5"/>
        <v>74.668000000000006</v>
      </c>
      <c r="J52" s="196">
        <v>5.077</v>
      </c>
      <c r="K52" s="193">
        <v>12.7224</v>
      </c>
      <c r="L52" s="193">
        <f t="shared" si="6"/>
        <v>64.591999999999999</v>
      </c>
      <c r="M52" s="197">
        <v>5.7960000000000003</v>
      </c>
      <c r="N52" s="193">
        <v>12.7224</v>
      </c>
      <c r="O52" s="193">
        <f t="shared" si="7"/>
        <v>73.739000000000004</v>
      </c>
      <c r="P52" s="197">
        <v>5.3</v>
      </c>
      <c r="Q52" s="193">
        <v>12.7224</v>
      </c>
      <c r="R52" s="193">
        <f t="shared" si="8"/>
        <v>67.429000000000002</v>
      </c>
      <c r="S52" s="195">
        <v>4.3129999999999997</v>
      </c>
      <c r="T52" s="193">
        <v>12.7224</v>
      </c>
      <c r="U52" s="193">
        <f t="shared" si="9"/>
        <v>54.872</v>
      </c>
      <c r="V52" s="201">
        <v>5.1230000000000002</v>
      </c>
      <c r="W52" s="195">
        <v>14.261799999999999</v>
      </c>
      <c r="X52" s="193">
        <f t="shared" si="10"/>
        <v>73.063000000000002</v>
      </c>
      <c r="Y52" s="202">
        <v>3.0680000000000001</v>
      </c>
      <c r="Z52" s="195">
        <v>14.261799999999999</v>
      </c>
      <c r="AA52" s="193">
        <f t="shared" si="11"/>
        <v>43.755000000000003</v>
      </c>
      <c r="AB52" s="198">
        <v>7.1340000000000003</v>
      </c>
      <c r="AC52" s="195">
        <v>14.261799999999999</v>
      </c>
      <c r="AD52" s="193">
        <f t="shared" si="12"/>
        <v>101.744</v>
      </c>
      <c r="AE52" s="193">
        <v>6.34</v>
      </c>
      <c r="AF52" s="195">
        <v>14.261799999999999</v>
      </c>
      <c r="AG52" s="193">
        <f t="shared" si="13"/>
        <v>90.42</v>
      </c>
      <c r="AH52" s="198">
        <v>6.1150000000000002</v>
      </c>
      <c r="AI52" s="195">
        <v>14.261799999999999</v>
      </c>
      <c r="AJ52" s="193">
        <f t="shared" si="14"/>
        <v>87.210999999999999</v>
      </c>
      <c r="AK52" s="193">
        <v>6.87</v>
      </c>
      <c r="AL52" s="195">
        <v>14.261799999999999</v>
      </c>
      <c r="AM52" s="193">
        <f t="shared" si="15"/>
        <v>97.978999999999999</v>
      </c>
      <c r="AN52" s="193">
        <f t="shared" si="1"/>
        <v>67.406999999999996</v>
      </c>
      <c r="AO52" s="193">
        <f t="shared" si="16"/>
        <v>910.92100000000005</v>
      </c>
      <c r="AR52" s="15">
        <v>63.4</v>
      </c>
      <c r="AS52" s="14">
        <f t="shared" ref="AS52:AS82" si="17">AN52-AR52</f>
        <v>4.0069999999999979</v>
      </c>
    </row>
    <row r="53" spans="1:47" ht="39" customHeight="1" x14ac:dyDescent="0.2">
      <c r="A53" s="75" t="s">
        <v>187</v>
      </c>
      <c r="B53" s="73" t="s">
        <v>308</v>
      </c>
      <c r="C53" s="74" t="s">
        <v>280</v>
      </c>
      <c r="D53" s="193">
        <v>20.62</v>
      </c>
      <c r="E53" s="193">
        <v>14.020899999999999</v>
      </c>
      <c r="F53" s="193">
        <f t="shared" si="4"/>
        <v>289.11099999999999</v>
      </c>
      <c r="G53" s="193">
        <v>16.989999999999998</v>
      </c>
      <c r="H53" s="193">
        <v>14.020899999999999</v>
      </c>
      <c r="I53" s="193">
        <f t="shared" si="5"/>
        <v>238.215</v>
      </c>
      <c r="J53" s="196">
        <v>16.93</v>
      </c>
      <c r="K53" s="193">
        <v>14.020899999999999</v>
      </c>
      <c r="L53" s="193">
        <f t="shared" si="6"/>
        <v>237.374</v>
      </c>
      <c r="M53" s="197">
        <v>17.8</v>
      </c>
      <c r="N53" s="193">
        <v>14.020899999999999</v>
      </c>
      <c r="O53" s="193">
        <f t="shared" si="7"/>
        <v>249.572</v>
      </c>
      <c r="P53" s="197">
        <v>15.14</v>
      </c>
      <c r="Q53" s="193">
        <v>14.020899999999999</v>
      </c>
      <c r="R53" s="193">
        <f t="shared" si="8"/>
        <v>212.27600000000001</v>
      </c>
      <c r="S53" s="195">
        <v>14.67</v>
      </c>
      <c r="T53" s="193">
        <v>14.020899999999999</v>
      </c>
      <c r="U53" s="193">
        <f t="shared" si="9"/>
        <v>205.68700000000001</v>
      </c>
      <c r="V53" s="201">
        <f>6.969+1.711</f>
        <v>8.68</v>
      </c>
      <c r="W53" s="195">
        <v>15.717499999999999</v>
      </c>
      <c r="X53" s="193">
        <f t="shared" si="10"/>
        <v>136.428</v>
      </c>
      <c r="Y53" s="202">
        <f>4.449+1.261</f>
        <v>5.71</v>
      </c>
      <c r="Z53" s="195">
        <v>15.717499999999999</v>
      </c>
      <c r="AA53" s="193">
        <f t="shared" si="11"/>
        <v>89.747</v>
      </c>
      <c r="AB53" s="198">
        <f>8.261+11.768</f>
        <v>20.029</v>
      </c>
      <c r="AC53" s="195">
        <v>15.717499999999999</v>
      </c>
      <c r="AD53" s="193">
        <f t="shared" si="12"/>
        <v>314.80599999999998</v>
      </c>
      <c r="AE53" s="193">
        <f>9.611+10.929</f>
        <v>20.54</v>
      </c>
      <c r="AF53" s="195">
        <v>15.717499999999999</v>
      </c>
      <c r="AG53" s="193">
        <f t="shared" si="13"/>
        <v>322.83699999999999</v>
      </c>
      <c r="AH53" s="198">
        <f>0.001+14.448+6.361</f>
        <v>20.81</v>
      </c>
      <c r="AI53" s="195">
        <v>15.717499999999999</v>
      </c>
      <c r="AJ53" s="193">
        <f t="shared" si="14"/>
        <v>327.08100000000002</v>
      </c>
      <c r="AK53" s="193">
        <f>9.609+5.311</f>
        <v>14.92</v>
      </c>
      <c r="AL53" s="195">
        <v>15.717499999999999</v>
      </c>
      <c r="AM53" s="193">
        <f t="shared" si="15"/>
        <v>234.505</v>
      </c>
      <c r="AN53" s="193">
        <f t="shared" si="1"/>
        <v>192.839</v>
      </c>
      <c r="AO53" s="193">
        <f t="shared" si="16"/>
        <v>2857.6390000000001</v>
      </c>
      <c r="AR53" s="15">
        <v>172.66000000000003</v>
      </c>
      <c r="AS53" s="14">
        <f t="shared" si="17"/>
        <v>20.178999999999974</v>
      </c>
    </row>
    <row r="54" spans="1:47" ht="34.5" customHeight="1" x14ac:dyDescent="0.2">
      <c r="A54" s="75" t="s">
        <v>188</v>
      </c>
      <c r="B54" s="73" t="s">
        <v>309</v>
      </c>
      <c r="C54" s="74" t="s">
        <v>280</v>
      </c>
      <c r="D54" s="193">
        <v>6.4619999999999997</v>
      </c>
      <c r="E54" s="193">
        <v>14.9557</v>
      </c>
      <c r="F54" s="193">
        <f t="shared" si="4"/>
        <v>96.644000000000005</v>
      </c>
      <c r="G54" s="193">
        <v>8.0449999999999999</v>
      </c>
      <c r="H54" s="193">
        <v>14.9557</v>
      </c>
      <c r="I54" s="193">
        <f t="shared" si="5"/>
        <v>120.319</v>
      </c>
      <c r="J54" s="196">
        <v>5.2889999999999997</v>
      </c>
      <c r="K54" s="193">
        <v>14.9557</v>
      </c>
      <c r="L54" s="193">
        <f t="shared" si="6"/>
        <v>79.100999999999999</v>
      </c>
      <c r="M54" s="197">
        <v>7.2530000000000001</v>
      </c>
      <c r="N54" s="193">
        <v>14.9557</v>
      </c>
      <c r="O54" s="193">
        <f t="shared" si="7"/>
        <v>108.474</v>
      </c>
      <c r="P54" s="197">
        <v>5.1790000000000003</v>
      </c>
      <c r="Q54" s="193">
        <v>14.9557</v>
      </c>
      <c r="R54" s="193">
        <f t="shared" si="8"/>
        <v>77.456000000000003</v>
      </c>
      <c r="S54" s="195">
        <v>5.7869999999999999</v>
      </c>
      <c r="T54" s="193">
        <v>14.9557</v>
      </c>
      <c r="U54" s="193">
        <f t="shared" si="9"/>
        <v>86.549000000000007</v>
      </c>
      <c r="V54" s="201">
        <v>3.137</v>
      </c>
      <c r="W54" s="195">
        <v>16.7654</v>
      </c>
      <c r="X54" s="193">
        <f t="shared" si="10"/>
        <v>52.593000000000004</v>
      </c>
      <c r="Y54" s="202">
        <v>3.282</v>
      </c>
      <c r="Z54" s="195">
        <v>16.7654</v>
      </c>
      <c r="AA54" s="193">
        <f t="shared" si="11"/>
        <v>55.024000000000001</v>
      </c>
      <c r="AB54" s="198">
        <v>6.0170000000000003</v>
      </c>
      <c r="AC54" s="195">
        <v>16.7654</v>
      </c>
      <c r="AD54" s="193">
        <f t="shared" si="12"/>
        <v>100.877</v>
      </c>
      <c r="AE54" s="193">
        <v>4.1769999999999996</v>
      </c>
      <c r="AF54" s="195">
        <v>16.7654</v>
      </c>
      <c r="AG54" s="193">
        <f t="shared" si="13"/>
        <v>70.028999999999996</v>
      </c>
      <c r="AH54" s="198">
        <v>6.5069999999999997</v>
      </c>
      <c r="AI54" s="195">
        <v>16.7654</v>
      </c>
      <c r="AJ54" s="193">
        <f t="shared" si="14"/>
        <v>109.092</v>
      </c>
      <c r="AK54" s="193">
        <v>6.7450000000000001</v>
      </c>
      <c r="AL54" s="195">
        <v>16.7654</v>
      </c>
      <c r="AM54" s="193">
        <f t="shared" si="15"/>
        <v>113.083</v>
      </c>
      <c r="AN54" s="193">
        <f t="shared" si="1"/>
        <v>67.88</v>
      </c>
      <c r="AO54" s="193">
        <f t="shared" si="16"/>
        <v>1069.241</v>
      </c>
      <c r="AR54" s="15">
        <v>115.515</v>
      </c>
      <c r="AS54" s="14">
        <f t="shared" si="17"/>
        <v>-47.635000000000005</v>
      </c>
    </row>
    <row r="55" spans="1:47" ht="33.75" customHeight="1" x14ac:dyDescent="0.2">
      <c r="A55" s="75" t="s">
        <v>189</v>
      </c>
      <c r="B55" s="73" t="s">
        <v>310</v>
      </c>
      <c r="C55" s="74" t="s">
        <v>280</v>
      </c>
      <c r="D55" s="193">
        <f>3.833+4.6+0.107</f>
        <v>8.5399999999999991</v>
      </c>
      <c r="E55" s="193">
        <v>14.9557</v>
      </c>
      <c r="F55" s="193">
        <f t="shared" si="4"/>
        <v>127.72199999999999</v>
      </c>
      <c r="G55" s="193">
        <v>5.4050000000000002</v>
      </c>
      <c r="H55" s="193">
        <v>14.9557</v>
      </c>
      <c r="I55" s="193">
        <f t="shared" si="5"/>
        <v>80.835999999999999</v>
      </c>
      <c r="J55" s="196">
        <v>4.2380000000000004</v>
      </c>
      <c r="K55" s="193">
        <v>14.9557</v>
      </c>
      <c r="L55" s="193">
        <f t="shared" si="6"/>
        <v>63.381999999999998</v>
      </c>
      <c r="M55" s="197">
        <v>5.343</v>
      </c>
      <c r="N55" s="193">
        <v>14.9557</v>
      </c>
      <c r="O55" s="193">
        <f t="shared" si="7"/>
        <v>79.908000000000001</v>
      </c>
      <c r="P55" s="197">
        <v>5.1989999999999998</v>
      </c>
      <c r="Q55" s="193">
        <v>14.9557</v>
      </c>
      <c r="R55" s="193">
        <f t="shared" si="8"/>
        <v>77.754999999999995</v>
      </c>
      <c r="S55" s="195">
        <v>4.2919999999999998</v>
      </c>
      <c r="T55" s="193">
        <v>14.9557</v>
      </c>
      <c r="U55" s="193">
        <f t="shared" si="9"/>
        <v>64.19</v>
      </c>
      <c r="V55" s="201">
        <v>4.6989999999999998</v>
      </c>
      <c r="W55" s="195">
        <v>16.7654</v>
      </c>
      <c r="X55" s="193">
        <f t="shared" si="10"/>
        <v>78.781000000000006</v>
      </c>
      <c r="Y55" s="202">
        <v>4.359</v>
      </c>
      <c r="Z55" s="195">
        <v>16.7654</v>
      </c>
      <c r="AA55" s="193">
        <f t="shared" si="11"/>
        <v>73.08</v>
      </c>
      <c r="AB55" s="198">
        <v>4.1390000000000002</v>
      </c>
      <c r="AC55" s="195">
        <v>16.7654</v>
      </c>
      <c r="AD55" s="193">
        <f t="shared" si="12"/>
        <v>69.391999999999996</v>
      </c>
      <c r="AE55" s="193">
        <v>4.16</v>
      </c>
      <c r="AF55" s="195">
        <v>16.7654</v>
      </c>
      <c r="AG55" s="193">
        <f t="shared" si="13"/>
        <v>69.744</v>
      </c>
      <c r="AH55" s="198">
        <v>5.133</v>
      </c>
      <c r="AI55" s="195">
        <v>16.7654</v>
      </c>
      <c r="AJ55" s="193">
        <f t="shared" si="14"/>
        <v>86.057000000000002</v>
      </c>
      <c r="AK55" s="193">
        <v>6.1669999999999998</v>
      </c>
      <c r="AL55" s="195">
        <v>16.7654</v>
      </c>
      <c r="AM55" s="193">
        <f t="shared" si="15"/>
        <v>103.392</v>
      </c>
      <c r="AN55" s="193">
        <f t="shared" si="1"/>
        <v>61.674000000000014</v>
      </c>
      <c r="AO55" s="193">
        <f t="shared" si="16"/>
        <v>974.23900000000003</v>
      </c>
      <c r="AR55" s="15">
        <v>49.527000000000001</v>
      </c>
      <c r="AS55" s="14">
        <f t="shared" si="17"/>
        <v>12.147000000000013</v>
      </c>
    </row>
    <row r="56" spans="1:47" ht="31.5" customHeight="1" x14ac:dyDescent="0.2">
      <c r="A56" s="75" t="s">
        <v>190</v>
      </c>
      <c r="B56" s="73" t="s">
        <v>311</v>
      </c>
      <c r="C56" s="74" t="s">
        <v>280</v>
      </c>
      <c r="D56" s="193">
        <v>6.4320000000000004</v>
      </c>
      <c r="E56" s="193">
        <v>14.9557</v>
      </c>
      <c r="F56" s="193">
        <f t="shared" si="4"/>
        <v>96.194999999999993</v>
      </c>
      <c r="G56" s="193">
        <v>6.2919999999999998</v>
      </c>
      <c r="H56" s="193">
        <v>14.9557</v>
      </c>
      <c r="I56" s="193">
        <f t="shared" si="5"/>
        <v>94.100999999999999</v>
      </c>
      <c r="J56" s="196">
        <v>5.2720000000000002</v>
      </c>
      <c r="K56" s="193">
        <v>14.9557</v>
      </c>
      <c r="L56" s="193">
        <f t="shared" si="6"/>
        <v>78.846000000000004</v>
      </c>
      <c r="M56" s="197">
        <v>5.3520000000000003</v>
      </c>
      <c r="N56" s="193">
        <v>14.9557</v>
      </c>
      <c r="O56" s="193">
        <f t="shared" si="7"/>
        <v>80.043000000000006</v>
      </c>
      <c r="P56" s="197">
        <v>4.2320000000000002</v>
      </c>
      <c r="Q56" s="193">
        <v>14.9557</v>
      </c>
      <c r="R56" s="193">
        <f t="shared" si="8"/>
        <v>63.292999999999999</v>
      </c>
      <c r="S56" s="195">
        <v>3.532</v>
      </c>
      <c r="T56" s="193">
        <v>14.9557</v>
      </c>
      <c r="U56" s="193">
        <f t="shared" si="9"/>
        <v>52.823999999999998</v>
      </c>
      <c r="V56" s="201">
        <v>1.752</v>
      </c>
      <c r="W56" s="195">
        <v>16.7654</v>
      </c>
      <c r="X56" s="193">
        <f t="shared" si="10"/>
        <v>29.373000000000001</v>
      </c>
      <c r="Y56" s="202">
        <v>1.6719999999999999</v>
      </c>
      <c r="Z56" s="195">
        <v>16.7654</v>
      </c>
      <c r="AA56" s="193">
        <f t="shared" si="11"/>
        <v>28.032</v>
      </c>
      <c r="AB56" s="198">
        <v>6.46</v>
      </c>
      <c r="AC56" s="195">
        <v>16.7654</v>
      </c>
      <c r="AD56" s="193">
        <f t="shared" si="12"/>
        <v>108.304</v>
      </c>
      <c r="AE56" s="193">
        <v>6.7919999999999998</v>
      </c>
      <c r="AF56" s="195">
        <v>16.7654</v>
      </c>
      <c r="AG56" s="193">
        <f t="shared" si="13"/>
        <v>113.871</v>
      </c>
      <c r="AH56" s="198">
        <v>6.6920000000000002</v>
      </c>
      <c r="AI56" s="195">
        <v>16.7654</v>
      </c>
      <c r="AJ56" s="193">
        <f t="shared" si="14"/>
        <v>112.194</v>
      </c>
      <c r="AK56" s="193">
        <v>6.3719999999999999</v>
      </c>
      <c r="AL56" s="195">
        <v>16.7654</v>
      </c>
      <c r="AM56" s="193">
        <f t="shared" si="15"/>
        <v>106.82899999999999</v>
      </c>
      <c r="AN56" s="193">
        <f t="shared" si="1"/>
        <v>60.852000000000004</v>
      </c>
      <c r="AO56" s="193">
        <f t="shared" si="16"/>
        <v>963.90499999999986</v>
      </c>
      <c r="AR56" s="15">
        <v>59.404000000000003</v>
      </c>
      <c r="AS56" s="14">
        <f t="shared" si="17"/>
        <v>1.4480000000000004</v>
      </c>
    </row>
    <row r="57" spans="1:47" ht="31.5" customHeight="1" x14ac:dyDescent="0.2">
      <c r="A57" s="75" t="s">
        <v>191</v>
      </c>
      <c r="B57" s="73" t="s">
        <v>312</v>
      </c>
      <c r="C57" s="74" t="s">
        <v>280</v>
      </c>
      <c r="D57" s="193">
        <v>3.6</v>
      </c>
      <c r="E57" s="193">
        <v>14.9557</v>
      </c>
      <c r="F57" s="193">
        <f t="shared" si="4"/>
        <v>53.841000000000001</v>
      </c>
      <c r="G57" s="193">
        <v>3.93</v>
      </c>
      <c r="H57" s="193">
        <v>14.9557</v>
      </c>
      <c r="I57" s="193">
        <f t="shared" si="5"/>
        <v>58.776000000000003</v>
      </c>
      <c r="J57" s="196">
        <v>3.57</v>
      </c>
      <c r="K57" s="193">
        <v>14.9557</v>
      </c>
      <c r="L57" s="193">
        <f t="shared" si="6"/>
        <v>53.392000000000003</v>
      </c>
      <c r="M57" s="197">
        <v>4.08</v>
      </c>
      <c r="N57" s="193">
        <v>14.9557</v>
      </c>
      <c r="O57" s="193">
        <f t="shared" si="7"/>
        <v>61.018999999999998</v>
      </c>
      <c r="P57" s="197">
        <v>3.54</v>
      </c>
      <c r="Q57" s="193">
        <v>14.9557</v>
      </c>
      <c r="R57" s="193">
        <f t="shared" si="8"/>
        <v>52.942999999999998</v>
      </c>
      <c r="S57" s="195">
        <v>2.1</v>
      </c>
      <c r="T57" s="193">
        <v>14.9557</v>
      </c>
      <c r="U57" s="193">
        <f t="shared" si="9"/>
        <v>31.407</v>
      </c>
      <c r="V57" s="201">
        <v>2.82</v>
      </c>
      <c r="W57" s="195">
        <v>16.7654</v>
      </c>
      <c r="X57" s="193">
        <f t="shared" si="10"/>
        <v>47.277999999999999</v>
      </c>
      <c r="Y57" s="202">
        <v>3</v>
      </c>
      <c r="Z57" s="195">
        <v>16.7654</v>
      </c>
      <c r="AA57" s="193">
        <f t="shared" si="11"/>
        <v>50.295999999999999</v>
      </c>
      <c r="AB57" s="198">
        <v>4.38</v>
      </c>
      <c r="AC57" s="195">
        <v>16.7654</v>
      </c>
      <c r="AD57" s="193">
        <f t="shared" si="12"/>
        <v>73.432000000000002</v>
      </c>
      <c r="AE57" s="193">
        <v>4.97</v>
      </c>
      <c r="AF57" s="195">
        <v>16.7654</v>
      </c>
      <c r="AG57" s="193">
        <f t="shared" si="13"/>
        <v>83.323999999999998</v>
      </c>
      <c r="AH57" s="198">
        <v>4.99</v>
      </c>
      <c r="AI57" s="195">
        <v>16.7654</v>
      </c>
      <c r="AJ57" s="193">
        <f t="shared" si="14"/>
        <v>83.659000000000006</v>
      </c>
      <c r="AK57" s="193">
        <v>3.7902</v>
      </c>
      <c r="AL57" s="195">
        <v>16.7654</v>
      </c>
      <c r="AM57" s="193">
        <f t="shared" si="15"/>
        <v>63.543999999999997</v>
      </c>
      <c r="AN57" s="193">
        <f t="shared" si="1"/>
        <v>44.770200000000003</v>
      </c>
      <c r="AO57" s="193">
        <f t="shared" si="16"/>
        <v>712.91099999999994</v>
      </c>
      <c r="AR57" s="15">
        <v>45</v>
      </c>
      <c r="AS57" s="14">
        <f t="shared" si="17"/>
        <v>-0.22979999999999734</v>
      </c>
    </row>
    <row r="58" spans="1:47" ht="34.5" customHeight="1" x14ac:dyDescent="0.2">
      <c r="A58" s="75" t="s">
        <v>192</v>
      </c>
      <c r="B58" s="73" t="s">
        <v>313</v>
      </c>
      <c r="C58" s="74" t="s">
        <v>280</v>
      </c>
      <c r="D58" s="193">
        <v>9.3049999999999997</v>
      </c>
      <c r="E58" s="193">
        <v>13.470800000000001</v>
      </c>
      <c r="F58" s="193">
        <f t="shared" si="4"/>
        <v>125.346</v>
      </c>
      <c r="G58" s="193">
        <v>8.5449999999999999</v>
      </c>
      <c r="H58" s="193">
        <v>13.470800000000001</v>
      </c>
      <c r="I58" s="193">
        <f t="shared" si="5"/>
        <v>115.108</v>
      </c>
      <c r="J58" s="196">
        <v>7.9249999999999998</v>
      </c>
      <c r="K58" s="193">
        <v>13.470800000000001</v>
      </c>
      <c r="L58" s="193">
        <f t="shared" si="6"/>
        <v>106.756</v>
      </c>
      <c r="M58" s="197">
        <v>8.4649999999999999</v>
      </c>
      <c r="N58" s="193">
        <v>13.470800000000001</v>
      </c>
      <c r="O58" s="193">
        <f t="shared" si="7"/>
        <v>114.03</v>
      </c>
      <c r="P58" s="197">
        <v>7.8449999999999998</v>
      </c>
      <c r="Q58" s="193">
        <v>13.470800000000001</v>
      </c>
      <c r="R58" s="193">
        <f t="shared" si="8"/>
        <v>105.678</v>
      </c>
      <c r="S58" s="195">
        <v>11.916</v>
      </c>
      <c r="T58" s="193">
        <v>13.470800000000001</v>
      </c>
      <c r="U58" s="193">
        <f t="shared" si="9"/>
        <v>160.518</v>
      </c>
      <c r="V58" s="201">
        <v>11.398999999999999</v>
      </c>
      <c r="W58" s="195">
        <v>15.1008</v>
      </c>
      <c r="X58" s="193">
        <f t="shared" si="10"/>
        <v>172.13399999999999</v>
      </c>
      <c r="Y58" s="202">
        <v>11.475</v>
      </c>
      <c r="Z58" s="195">
        <v>15.1008</v>
      </c>
      <c r="AA58" s="193">
        <f t="shared" si="11"/>
        <v>173.28200000000001</v>
      </c>
      <c r="AB58" s="198">
        <v>11.282999999999999</v>
      </c>
      <c r="AC58" s="195">
        <v>15.1008</v>
      </c>
      <c r="AD58" s="193">
        <f t="shared" si="12"/>
        <v>170.38200000000001</v>
      </c>
      <c r="AE58" s="193">
        <v>11.035</v>
      </c>
      <c r="AF58" s="195">
        <v>15.1008</v>
      </c>
      <c r="AG58" s="193">
        <f t="shared" si="13"/>
        <v>166.637</v>
      </c>
      <c r="AH58" s="198">
        <v>11.715</v>
      </c>
      <c r="AI58" s="195">
        <v>15.1008</v>
      </c>
      <c r="AJ58" s="193">
        <f t="shared" si="14"/>
        <v>176.90600000000001</v>
      </c>
      <c r="AK58" s="193">
        <v>11.492000000000001</v>
      </c>
      <c r="AL58" s="195">
        <v>15.1008</v>
      </c>
      <c r="AM58" s="193">
        <f t="shared" si="15"/>
        <v>173.53800000000001</v>
      </c>
      <c r="AN58" s="193">
        <f t="shared" si="1"/>
        <v>122.4</v>
      </c>
      <c r="AO58" s="193">
        <f t="shared" si="16"/>
        <v>1760.3150000000001</v>
      </c>
      <c r="AR58" s="15">
        <v>112.005</v>
      </c>
      <c r="AS58" s="14">
        <f t="shared" si="17"/>
        <v>10.39500000000001</v>
      </c>
    </row>
    <row r="59" spans="1:47" ht="33.75" customHeight="1" x14ac:dyDescent="0.2">
      <c r="A59" s="75" t="s">
        <v>193</v>
      </c>
      <c r="B59" s="73" t="s">
        <v>314</v>
      </c>
      <c r="C59" s="74" t="s">
        <v>280</v>
      </c>
      <c r="D59" s="193">
        <v>6.1710000000000003</v>
      </c>
      <c r="E59" s="193">
        <v>12.724</v>
      </c>
      <c r="F59" s="193">
        <f t="shared" si="4"/>
        <v>78.52</v>
      </c>
      <c r="G59" s="193">
        <v>6.7539999999999996</v>
      </c>
      <c r="H59" s="193">
        <v>12.724</v>
      </c>
      <c r="I59" s="193">
        <f t="shared" si="5"/>
        <v>85.938000000000002</v>
      </c>
      <c r="J59" s="196">
        <v>6.2690000000000001</v>
      </c>
      <c r="K59" s="193">
        <v>12.724</v>
      </c>
      <c r="L59" s="193">
        <f t="shared" si="6"/>
        <v>79.766999999999996</v>
      </c>
      <c r="M59" s="197">
        <v>6.5090000000000003</v>
      </c>
      <c r="N59" s="193">
        <v>12.724</v>
      </c>
      <c r="O59" s="193">
        <f t="shared" si="7"/>
        <v>82.820999999999998</v>
      </c>
      <c r="P59" s="197">
        <v>5.3490000000000002</v>
      </c>
      <c r="Q59" s="193">
        <v>12.724</v>
      </c>
      <c r="R59" s="193">
        <f t="shared" si="8"/>
        <v>68.061000000000007</v>
      </c>
      <c r="S59" s="195">
        <v>4.8620000000000001</v>
      </c>
      <c r="T59" s="193">
        <v>12.724</v>
      </c>
      <c r="U59" s="193">
        <f t="shared" si="9"/>
        <v>61.863999999999997</v>
      </c>
      <c r="V59" s="201">
        <v>3.1560000000000001</v>
      </c>
      <c r="W59" s="195">
        <v>14.2636</v>
      </c>
      <c r="X59" s="193">
        <f t="shared" si="10"/>
        <v>45.015999999999998</v>
      </c>
      <c r="Y59" s="202">
        <v>3.5369999999999999</v>
      </c>
      <c r="Z59" s="195">
        <v>14.2636</v>
      </c>
      <c r="AA59" s="193">
        <f t="shared" si="11"/>
        <v>50.45</v>
      </c>
      <c r="AB59" s="198">
        <v>5.7830000000000004</v>
      </c>
      <c r="AC59" s="195">
        <v>14.2636</v>
      </c>
      <c r="AD59" s="193">
        <f t="shared" si="12"/>
        <v>82.486000000000004</v>
      </c>
      <c r="AE59" s="193">
        <v>6.9130000000000003</v>
      </c>
      <c r="AF59" s="195">
        <v>14.2636</v>
      </c>
      <c r="AG59" s="193">
        <f t="shared" si="13"/>
        <v>98.603999999999999</v>
      </c>
      <c r="AH59" s="198">
        <v>6.0529999999999999</v>
      </c>
      <c r="AI59" s="195">
        <v>14.2636</v>
      </c>
      <c r="AJ59" s="193">
        <f t="shared" si="14"/>
        <v>86.337999999999994</v>
      </c>
      <c r="AK59" s="193">
        <v>6.548</v>
      </c>
      <c r="AL59" s="195">
        <v>14.2636</v>
      </c>
      <c r="AM59" s="193">
        <f t="shared" si="15"/>
        <v>93.397999999999996</v>
      </c>
      <c r="AN59" s="193">
        <f t="shared" si="1"/>
        <v>67.903999999999996</v>
      </c>
      <c r="AO59" s="193">
        <f t="shared" si="16"/>
        <v>913.26300000000003</v>
      </c>
      <c r="AR59" s="15">
        <v>66.003000000000014</v>
      </c>
      <c r="AS59" s="14">
        <f t="shared" si="17"/>
        <v>1.900999999999982</v>
      </c>
    </row>
    <row r="60" spans="1:47" ht="37.5" customHeight="1" x14ac:dyDescent="0.2">
      <c r="A60" s="75" t="s">
        <v>194</v>
      </c>
      <c r="B60" s="85" t="s">
        <v>315</v>
      </c>
      <c r="C60" s="74" t="s">
        <v>280</v>
      </c>
      <c r="D60" s="193">
        <v>0.41899999999999998</v>
      </c>
      <c r="E60" s="193">
        <v>14.9557</v>
      </c>
      <c r="F60" s="193">
        <f t="shared" si="4"/>
        <v>6.266</v>
      </c>
      <c r="G60" s="193">
        <v>0.48599999999999999</v>
      </c>
      <c r="H60" s="193">
        <v>14.9557</v>
      </c>
      <c r="I60" s="193">
        <f t="shared" si="5"/>
        <v>7.2679999999999998</v>
      </c>
      <c r="J60" s="196">
        <v>0.41199999999999998</v>
      </c>
      <c r="K60" s="193">
        <v>14.9557</v>
      </c>
      <c r="L60" s="193">
        <f t="shared" si="6"/>
        <v>6.1619999999999999</v>
      </c>
      <c r="M60" s="197">
        <v>0.45500000000000002</v>
      </c>
      <c r="N60" s="193">
        <v>14.9557</v>
      </c>
      <c r="O60" s="193">
        <f t="shared" si="7"/>
        <v>6.8049999999999997</v>
      </c>
      <c r="P60" s="197">
        <v>0.35499999999999998</v>
      </c>
      <c r="Q60" s="193">
        <v>14.9557</v>
      </c>
      <c r="R60" s="193">
        <f t="shared" si="8"/>
        <v>5.3090000000000002</v>
      </c>
      <c r="S60" s="195">
        <v>0.20100000000000001</v>
      </c>
      <c r="T60" s="193">
        <v>14.9557</v>
      </c>
      <c r="U60" s="193">
        <f t="shared" si="9"/>
        <v>3.0059999999999998</v>
      </c>
      <c r="V60" s="201">
        <v>0.155</v>
      </c>
      <c r="W60" s="195">
        <v>16.7654</v>
      </c>
      <c r="X60" s="193">
        <f t="shared" si="10"/>
        <v>2.5990000000000002</v>
      </c>
      <c r="Y60" s="202">
        <v>0.115</v>
      </c>
      <c r="Z60" s="195">
        <v>16.7654</v>
      </c>
      <c r="AA60" s="193">
        <f t="shared" si="11"/>
        <v>1.9279999999999999</v>
      </c>
      <c r="AB60" s="198">
        <v>0.20100000000000001</v>
      </c>
      <c r="AC60" s="195">
        <v>16.7654</v>
      </c>
      <c r="AD60" s="193">
        <f t="shared" si="12"/>
        <v>3.37</v>
      </c>
      <c r="AE60" s="193">
        <v>0.34799999999999998</v>
      </c>
      <c r="AF60" s="195">
        <v>16.7654</v>
      </c>
      <c r="AG60" s="193">
        <f t="shared" si="13"/>
        <v>5.8339999999999996</v>
      </c>
      <c r="AH60" s="198">
        <v>0.41299999999999998</v>
      </c>
      <c r="AI60" s="195">
        <v>16.7654</v>
      </c>
      <c r="AJ60" s="193">
        <f t="shared" si="14"/>
        <v>6.9240000000000004</v>
      </c>
      <c r="AK60" s="193">
        <v>0.4</v>
      </c>
      <c r="AL60" s="195">
        <v>16.7654</v>
      </c>
      <c r="AM60" s="193">
        <f t="shared" si="15"/>
        <v>6.7060000000000004</v>
      </c>
      <c r="AN60" s="193">
        <f t="shared" si="1"/>
        <v>3.9599999999999995</v>
      </c>
      <c r="AO60" s="193">
        <f t="shared" si="16"/>
        <v>62.176999999999985</v>
      </c>
      <c r="AR60" s="15">
        <v>3.9959999999999996</v>
      </c>
      <c r="AS60" s="14">
        <f t="shared" si="17"/>
        <v>-3.6000000000000032E-2</v>
      </c>
    </row>
    <row r="61" spans="1:47" ht="37.5" customHeight="1" x14ac:dyDescent="0.2">
      <c r="A61" s="75" t="s">
        <v>195</v>
      </c>
      <c r="B61" s="85" t="s">
        <v>316</v>
      </c>
      <c r="C61" s="74" t="s">
        <v>280</v>
      </c>
      <c r="D61" s="193">
        <v>3.23</v>
      </c>
      <c r="E61" s="193">
        <v>14.9557</v>
      </c>
      <c r="F61" s="193">
        <f t="shared" si="4"/>
        <v>48.307000000000002</v>
      </c>
      <c r="G61" s="193">
        <v>3.53</v>
      </c>
      <c r="H61" s="193">
        <v>14.9557</v>
      </c>
      <c r="I61" s="193">
        <f t="shared" si="5"/>
        <v>52.793999999999997</v>
      </c>
      <c r="J61" s="196">
        <v>3.0960000000000001</v>
      </c>
      <c r="K61" s="193">
        <v>14.9557</v>
      </c>
      <c r="L61" s="193">
        <f t="shared" si="6"/>
        <v>46.302999999999997</v>
      </c>
      <c r="M61" s="197">
        <v>2.93</v>
      </c>
      <c r="N61" s="193">
        <v>14.9557</v>
      </c>
      <c r="O61" s="193">
        <f t="shared" si="7"/>
        <v>43.82</v>
      </c>
      <c r="P61" s="197">
        <v>2.7229999999999999</v>
      </c>
      <c r="Q61" s="193">
        <v>14.9557</v>
      </c>
      <c r="R61" s="193">
        <f t="shared" si="8"/>
        <v>40.723999999999997</v>
      </c>
      <c r="S61" s="195">
        <v>2.1539999999999999</v>
      </c>
      <c r="T61" s="193">
        <v>14.9557</v>
      </c>
      <c r="U61" s="193">
        <f t="shared" si="9"/>
        <v>32.215000000000003</v>
      </c>
      <c r="V61" s="201">
        <v>1.677</v>
      </c>
      <c r="W61" s="195">
        <v>16.7654</v>
      </c>
      <c r="X61" s="193">
        <f t="shared" si="10"/>
        <v>28.116</v>
      </c>
      <c r="Y61" s="202">
        <v>1.738</v>
      </c>
      <c r="Z61" s="195">
        <v>16.7654</v>
      </c>
      <c r="AA61" s="193">
        <f t="shared" si="11"/>
        <v>29.138000000000002</v>
      </c>
      <c r="AB61" s="198">
        <v>3.6480000000000001</v>
      </c>
      <c r="AC61" s="195">
        <v>16.7654</v>
      </c>
      <c r="AD61" s="193">
        <f t="shared" si="12"/>
        <v>61.16</v>
      </c>
      <c r="AE61" s="193">
        <v>3.855</v>
      </c>
      <c r="AF61" s="195">
        <v>16.7654</v>
      </c>
      <c r="AG61" s="193">
        <f t="shared" si="13"/>
        <v>64.631</v>
      </c>
      <c r="AH61" s="198">
        <v>3.36</v>
      </c>
      <c r="AI61" s="195">
        <v>16.7654</v>
      </c>
      <c r="AJ61" s="193">
        <f t="shared" si="14"/>
        <v>56.332000000000001</v>
      </c>
      <c r="AK61" s="193">
        <v>4.41</v>
      </c>
      <c r="AL61" s="195">
        <v>16.7654</v>
      </c>
      <c r="AM61" s="193">
        <f t="shared" si="15"/>
        <v>73.935000000000002</v>
      </c>
      <c r="AN61" s="193">
        <f t="shared" si="1"/>
        <v>36.350999999999999</v>
      </c>
      <c r="AO61" s="193">
        <f t="shared" si="16"/>
        <v>577.47499999999991</v>
      </c>
      <c r="AR61" s="15">
        <v>35.445</v>
      </c>
      <c r="AS61" s="14">
        <f t="shared" si="17"/>
        <v>0.90599999999999881</v>
      </c>
    </row>
    <row r="62" spans="1:47" ht="37.5" customHeight="1" x14ac:dyDescent="0.2">
      <c r="A62" s="75" t="s">
        <v>196</v>
      </c>
      <c r="B62" s="73" t="s">
        <v>317</v>
      </c>
      <c r="C62" s="74" t="s">
        <v>280</v>
      </c>
      <c r="D62" s="193">
        <v>3.528</v>
      </c>
      <c r="E62" s="193">
        <v>14.9557</v>
      </c>
      <c r="F62" s="193">
        <f t="shared" si="4"/>
        <v>52.764000000000003</v>
      </c>
      <c r="G62" s="193">
        <v>4.1680000000000001</v>
      </c>
      <c r="H62" s="193">
        <v>14.9557</v>
      </c>
      <c r="I62" s="193">
        <f t="shared" si="5"/>
        <v>62.335000000000001</v>
      </c>
      <c r="J62" s="196">
        <v>2.9279999999999999</v>
      </c>
      <c r="K62" s="193">
        <v>14.9557</v>
      </c>
      <c r="L62" s="193">
        <f t="shared" si="6"/>
        <v>43.79</v>
      </c>
      <c r="M62" s="197">
        <v>3.8079999999999998</v>
      </c>
      <c r="N62" s="193">
        <v>14.9557</v>
      </c>
      <c r="O62" s="193">
        <f t="shared" si="7"/>
        <v>56.951000000000001</v>
      </c>
      <c r="P62" s="197">
        <v>3.1280000000000001</v>
      </c>
      <c r="Q62" s="193">
        <v>14.9557</v>
      </c>
      <c r="R62" s="193">
        <f t="shared" si="8"/>
        <v>46.780999999999999</v>
      </c>
      <c r="S62" s="195">
        <v>2.8079999999999998</v>
      </c>
      <c r="T62" s="193">
        <v>14.9557</v>
      </c>
      <c r="U62" s="193">
        <f t="shared" si="9"/>
        <v>41.996000000000002</v>
      </c>
      <c r="V62" s="201">
        <v>2.1280000000000001</v>
      </c>
      <c r="W62" s="195">
        <v>16.7654</v>
      </c>
      <c r="X62" s="193">
        <f t="shared" si="10"/>
        <v>35.677</v>
      </c>
      <c r="Y62" s="202">
        <v>2.4079999999999999</v>
      </c>
      <c r="Z62" s="195">
        <v>16.7654</v>
      </c>
      <c r="AA62" s="193">
        <f t="shared" si="11"/>
        <v>40.371000000000002</v>
      </c>
      <c r="AB62" s="198">
        <v>3.6480000000000001</v>
      </c>
      <c r="AC62" s="195">
        <v>16.7654</v>
      </c>
      <c r="AD62" s="193">
        <f t="shared" si="12"/>
        <v>61.16</v>
      </c>
      <c r="AE62" s="193">
        <v>3.968</v>
      </c>
      <c r="AF62" s="195">
        <v>16.7654</v>
      </c>
      <c r="AG62" s="193">
        <f t="shared" si="13"/>
        <v>66.525000000000006</v>
      </c>
      <c r="AH62" s="198">
        <v>3.5680000000000001</v>
      </c>
      <c r="AI62" s="195">
        <v>16.7654</v>
      </c>
      <c r="AJ62" s="193">
        <f t="shared" si="14"/>
        <v>59.819000000000003</v>
      </c>
      <c r="AK62" s="193">
        <v>4.5679999999999996</v>
      </c>
      <c r="AL62" s="195">
        <v>16.7654</v>
      </c>
      <c r="AM62" s="193">
        <f t="shared" si="15"/>
        <v>76.584000000000003</v>
      </c>
      <c r="AN62" s="193">
        <f t="shared" si="1"/>
        <v>40.655999999999992</v>
      </c>
      <c r="AO62" s="193">
        <f t="shared" si="16"/>
        <v>644.75299999999993</v>
      </c>
      <c r="AP62" s="86"/>
      <c r="AR62" s="15">
        <v>40.015999999999998</v>
      </c>
      <c r="AS62" s="14">
        <f t="shared" si="17"/>
        <v>0.63999999999999346</v>
      </c>
    </row>
    <row r="63" spans="1:47" ht="37.5" customHeight="1" x14ac:dyDescent="0.2">
      <c r="A63" s="75" t="s">
        <v>197</v>
      </c>
      <c r="B63" s="73" t="s">
        <v>318</v>
      </c>
      <c r="C63" s="74" t="s">
        <v>280</v>
      </c>
      <c r="D63" s="193">
        <v>1.9890000000000001</v>
      </c>
      <c r="E63" s="193">
        <v>14.9557</v>
      </c>
      <c r="F63" s="193">
        <f t="shared" si="4"/>
        <v>29.747</v>
      </c>
      <c r="G63" s="193">
        <v>2.2210000000000001</v>
      </c>
      <c r="H63" s="193">
        <v>14.9557</v>
      </c>
      <c r="I63" s="193">
        <f t="shared" si="5"/>
        <v>33.216999999999999</v>
      </c>
      <c r="J63" s="196">
        <v>2.16</v>
      </c>
      <c r="K63" s="193">
        <v>14.9557</v>
      </c>
      <c r="L63" s="193">
        <f t="shared" si="6"/>
        <v>32.304000000000002</v>
      </c>
      <c r="M63" s="197">
        <v>2.254</v>
      </c>
      <c r="N63" s="193">
        <v>14.9557</v>
      </c>
      <c r="O63" s="193">
        <f t="shared" si="7"/>
        <v>33.71</v>
      </c>
      <c r="P63" s="197">
        <v>1.794</v>
      </c>
      <c r="Q63" s="193">
        <v>14.9557</v>
      </c>
      <c r="R63" s="193">
        <f t="shared" si="8"/>
        <v>26.831</v>
      </c>
      <c r="S63" s="195">
        <v>1.883</v>
      </c>
      <c r="T63" s="193">
        <v>14.9557</v>
      </c>
      <c r="U63" s="193">
        <f t="shared" si="9"/>
        <v>28.161999999999999</v>
      </c>
      <c r="V63" s="201">
        <v>0.52900000000000003</v>
      </c>
      <c r="W63" s="195">
        <v>16.7654</v>
      </c>
      <c r="X63" s="193">
        <f t="shared" si="10"/>
        <v>8.8689999999999998</v>
      </c>
      <c r="Y63" s="202">
        <v>1.335</v>
      </c>
      <c r="Z63" s="195">
        <v>16.7654</v>
      </c>
      <c r="AA63" s="193">
        <f t="shared" si="11"/>
        <v>22.382000000000001</v>
      </c>
      <c r="AB63" s="198">
        <v>3.4710000000000001</v>
      </c>
      <c r="AC63" s="195">
        <v>16.7654</v>
      </c>
      <c r="AD63" s="193">
        <f t="shared" si="12"/>
        <v>58.192999999999998</v>
      </c>
      <c r="AE63" s="193">
        <v>3.351</v>
      </c>
      <c r="AF63" s="195">
        <v>16.7654</v>
      </c>
      <c r="AG63" s="193">
        <f t="shared" si="13"/>
        <v>56.180999999999997</v>
      </c>
      <c r="AH63" s="198">
        <v>3.1309999999999998</v>
      </c>
      <c r="AI63" s="195">
        <v>16.7654</v>
      </c>
      <c r="AJ63" s="193">
        <f t="shared" si="14"/>
        <v>52.491999999999997</v>
      </c>
      <c r="AK63" s="193">
        <v>2.15</v>
      </c>
      <c r="AL63" s="195">
        <v>16.7654</v>
      </c>
      <c r="AM63" s="193">
        <f t="shared" si="15"/>
        <v>36.045999999999999</v>
      </c>
      <c r="AN63" s="193">
        <f t="shared" si="1"/>
        <v>26.268000000000001</v>
      </c>
      <c r="AO63" s="193">
        <f t="shared" si="16"/>
        <v>418.13400000000001</v>
      </c>
      <c r="AR63" s="15">
        <v>20.923000000000002</v>
      </c>
      <c r="AS63" s="14">
        <f t="shared" si="17"/>
        <v>5.3449999999999989</v>
      </c>
    </row>
    <row r="64" spans="1:47" ht="38.25" customHeight="1" x14ac:dyDescent="0.2">
      <c r="A64" s="75" t="s">
        <v>198</v>
      </c>
      <c r="B64" s="73" t="s">
        <v>319</v>
      </c>
      <c r="C64" s="74" t="s">
        <v>280</v>
      </c>
      <c r="D64" s="193">
        <v>8.234</v>
      </c>
      <c r="E64" s="193">
        <v>14.9557</v>
      </c>
      <c r="F64" s="193">
        <f t="shared" si="4"/>
        <v>123.145</v>
      </c>
      <c r="G64" s="193">
        <v>8.4139999999999997</v>
      </c>
      <c r="H64" s="193">
        <v>14.9557</v>
      </c>
      <c r="I64" s="193">
        <f t="shared" si="5"/>
        <v>125.837</v>
      </c>
      <c r="J64" s="196">
        <v>7.0339999999999998</v>
      </c>
      <c r="K64" s="193">
        <v>14.9557</v>
      </c>
      <c r="L64" s="193">
        <f t="shared" si="6"/>
        <v>105.19799999999999</v>
      </c>
      <c r="M64" s="197">
        <v>8.3740000000000006</v>
      </c>
      <c r="N64" s="193">
        <v>14.9557</v>
      </c>
      <c r="O64" s="193">
        <f t="shared" si="7"/>
        <v>125.239</v>
      </c>
      <c r="P64" s="197">
        <v>6.0540000000000003</v>
      </c>
      <c r="Q64" s="193">
        <v>14.9557</v>
      </c>
      <c r="R64" s="193">
        <f t="shared" si="8"/>
        <v>90.542000000000002</v>
      </c>
      <c r="S64" s="195">
        <v>5.234</v>
      </c>
      <c r="T64" s="193">
        <v>14.9557</v>
      </c>
      <c r="U64" s="193">
        <f t="shared" si="9"/>
        <v>78.278000000000006</v>
      </c>
      <c r="V64" s="201">
        <v>1.994</v>
      </c>
      <c r="W64" s="195">
        <v>16.7654</v>
      </c>
      <c r="X64" s="193">
        <f t="shared" si="10"/>
        <v>33.43</v>
      </c>
      <c r="Y64" s="202">
        <v>1.8740000000000001</v>
      </c>
      <c r="Z64" s="195">
        <v>16.7654</v>
      </c>
      <c r="AA64" s="193">
        <f t="shared" si="11"/>
        <v>31.417999999999999</v>
      </c>
      <c r="AB64" s="198">
        <v>7.9139999999999997</v>
      </c>
      <c r="AC64" s="195">
        <v>16.7654</v>
      </c>
      <c r="AD64" s="193">
        <f t="shared" si="12"/>
        <v>132.68100000000001</v>
      </c>
      <c r="AE64" s="193">
        <v>7.734</v>
      </c>
      <c r="AF64" s="195">
        <v>16.7654</v>
      </c>
      <c r="AG64" s="193">
        <f t="shared" si="13"/>
        <v>129.66399999999999</v>
      </c>
      <c r="AH64" s="198">
        <v>7.9740000000000002</v>
      </c>
      <c r="AI64" s="195">
        <v>16.7654</v>
      </c>
      <c r="AJ64" s="193">
        <f t="shared" si="14"/>
        <v>133.68700000000001</v>
      </c>
      <c r="AK64" s="193">
        <v>7.9340000000000002</v>
      </c>
      <c r="AL64" s="195">
        <v>16.7654</v>
      </c>
      <c r="AM64" s="193">
        <f t="shared" si="15"/>
        <v>133.017</v>
      </c>
      <c r="AN64" s="193">
        <f t="shared" si="1"/>
        <v>78.768000000000001</v>
      </c>
      <c r="AO64" s="193">
        <f t="shared" si="16"/>
        <v>1242.1360000000002</v>
      </c>
      <c r="AR64" s="15">
        <v>73.212999999999994</v>
      </c>
      <c r="AS64" s="14">
        <f t="shared" si="17"/>
        <v>5.5550000000000068</v>
      </c>
    </row>
    <row r="65" spans="1:47" ht="38.25" customHeight="1" x14ac:dyDescent="0.2">
      <c r="A65" s="75" t="s">
        <v>199</v>
      </c>
      <c r="B65" s="73" t="s">
        <v>320</v>
      </c>
      <c r="C65" s="74" t="s">
        <v>280</v>
      </c>
      <c r="D65" s="193">
        <v>2.58</v>
      </c>
      <c r="E65" s="193">
        <v>14.9557</v>
      </c>
      <c r="F65" s="193">
        <f t="shared" si="4"/>
        <v>38.585999999999999</v>
      </c>
      <c r="G65" s="193">
        <v>2.7</v>
      </c>
      <c r="H65" s="193">
        <v>14.9557</v>
      </c>
      <c r="I65" s="193">
        <f t="shared" si="5"/>
        <v>40.380000000000003</v>
      </c>
      <c r="J65" s="196">
        <v>2.387</v>
      </c>
      <c r="K65" s="193">
        <v>14.9557</v>
      </c>
      <c r="L65" s="193">
        <f t="shared" si="6"/>
        <v>35.698999999999998</v>
      </c>
      <c r="M65" s="197">
        <v>2.1850000000000001</v>
      </c>
      <c r="N65" s="193">
        <v>14.9557</v>
      </c>
      <c r="O65" s="193">
        <f t="shared" si="7"/>
        <v>32.677999999999997</v>
      </c>
      <c r="P65" s="197">
        <v>1.964</v>
      </c>
      <c r="Q65" s="193">
        <v>14.9557</v>
      </c>
      <c r="R65" s="193">
        <f t="shared" si="8"/>
        <v>29.373000000000001</v>
      </c>
      <c r="S65" s="195">
        <v>2.0270000000000001</v>
      </c>
      <c r="T65" s="193">
        <v>14.9557</v>
      </c>
      <c r="U65" s="193">
        <f t="shared" si="9"/>
        <v>30.315000000000001</v>
      </c>
      <c r="V65" s="201">
        <v>0.79200000000000004</v>
      </c>
      <c r="W65" s="195">
        <v>16.7654</v>
      </c>
      <c r="X65" s="193">
        <f t="shared" si="10"/>
        <v>13.278</v>
      </c>
      <c r="Y65" s="202">
        <v>1.109</v>
      </c>
      <c r="Z65" s="195">
        <v>16.7654</v>
      </c>
      <c r="AA65" s="193">
        <f t="shared" si="11"/>
        <v>18.593</v>
      </c>
      <c r="AB65" s="198">
        <v>2.383</v>
      </c>
      <c r="AC65" s="195">
        <v>16.7654</v>
      </c>
      <c r="AD65" s="193">
        <f t="shared" si="12"/>
        <v>39.951999999999998</v>
      </c>
      <c r="AE65" s="193">
        <v>2.544</v>
      </c>
      <c r="AF65" s="195">
        <v>16.7654</v>
      </c>
      <c r="AG65" s="193">
        <f t="shared" si="13"/>
        <v>42.651000000000003</v>
      </c>
      <c r="AH65" s="198">
        <v>2.6110000000000002</v>
      </c>
      <c r="AI65" s="195">
        <v>16.7654</v>
      </c>
      <c r="AJ65" s="193">
        <f t="shared" si="14"/>
        <v>43.774000000000001</v>
      </c>
      <c r="AK65" s="193">
        <v>2.8450000000000002</v>
      </c>
      <c r="AL65" s="195">
        <v>16.7654</v>
      </c>
      <c r="AM65" s="193">
        <f t="shared" si="15"/>
        <v>47.698</v>
      </c>
      <c r="AN65" s="193">
        <f t="shared" si="1"/>
        <v>26.126999999999999</v>
      </c>
      <c r="AO65" s="193">
        <f t="shared" si="16"/>
        <v>412.97699999999998</v>
      </c>
      <c r="AR65" s="15">
        <v>24.737000000000002</v>
      </c>
      <c r="AS65" s="14">
        <f t="shared" si="17"/>
        <v>1.389999999999997</v>
      </c>
    </row>
    <row r="66" spans="1:47" ht="39" customHeight="1" x14ac:dyDescent="0.2">
      <c r="A66" s="75" t="s">
        <v>200</v>
      </c>
      <c r="B66" s="85" t="s">
        <v>321</v>
      </c>
      <c r="C66" s="74" t="s">
        <v>280</v>
      </c>
      <c r="D66" s="193">
        <v>42.552999999999997</v>
      </c>
      <c r="E66" s="193">
        <v>14.9557</v>
      </c>
      <c r="F66" s="193">
        <f t="shared" si="4"/>
        <v>636.41</v>
      </c>
      <c r="G66" s="193">
        <v>39.293999999999997</v>
      </c>
      <c r="H66" s="193">
        <v>14.9557</v>
      </c>
      <c r="I66" s="193">
        <f t="shared" si="5"/>
        <v>587.66899999999998</v>
      </c>
      <c r="J66" s="196">
        <v>31.012</v>
      </c>
      <c r="K66" s="193">
        <v>14.9557</v>
      </c>
      <c r="L66" s="193">
        <f t="shared" si="6"/>
        <v>463.80599999999998</v>
      </c>
      <c r="M66" s="197">
        <v>16.213000000000001</v>
      </c>
      <c r="N66" s="193">
        <v>14.9557</v>
      </c>
      <c r="O66" s="193">
        <f t="shared" si="7"/>
        <v>242.477</v>
      </c>
      <c r="P66" s="197">
        <v>2.9780000000000002</v>
      </c>
      <c r="Q66" s="193">
        <v>14.9557</v>
      </c>
      <c r="R66" s="193">
        <f t="shared" si="8"/>
        <v>44.537999999999997</v>
      </c>
      <c r="S66" s="195">
        <v>2.4169999999999998</v>
      </c>
      <c r="T66" s="193">
        <v>14.9557</v>
      </c>
      <c r="U66" s="193">
        <f t="shared" si="9"/>
        <v>36.148000000000003</v>
      </c>
      <c r="V66" s="201">
        <v>0.73199999999999998</v>
      </c>
      <c r="W66" s="195">
        <v>16.7654</v>
      </c>
      <c r="X66" s="193">
        <f t="shared" si="10"/>
        <v>12.272</v>
      </c>
      <c r="Y66" s="202">
        <v>2.4609999999999999</v>
      </c>
      <c r="Z66" s="195">
        <v>16.7654</v>
      </c>
      <c r="AA66" s="193">
        <f t="shared" si="11"/>
        <v>41.26</v>
      </c>
      <c r="AB66" s="198">
        <v>2.8439999999999999</v>
      </c>
      <c r="AC66" s="195">
        <v>16.7654</v>
      </c>
      <c r="AD66" s="193">
        <f t="shared" si="12"/>
        <v>47.680999999999997</v>
      </c>
      <c r="AE66" s="193">
        <v>7.5220000000000002</v>
      </c>
      <c r="AF66" s="195">
        <v>16.7654</v>
      </c>
      <c r="AG66" s="193">
        <f t="shared" si="13"/>
        <v>126.10899999999999</v>
      </c>
      <c r="AH66" s="198">
        <v>25.039000000000001</v>
      </c>
      <c r="AI66" s="195">
        <v>16.7654</v>
      </c>
      <c r="AJ66" s="193">
        <f t="shared" si="14"/>
        <v>419.78899999999999</v>
      </c>
      <c r="AK66" s="193">
        <v>33.704000000000001</v>
      </c>
      <c r="AL66" s="195">
        <v>16.7654</v>
      </c>
      <c r="AM66" s="193">
        <f t="shared" si="15"/>
        <v>565.06100000000004</v>
      </c>
      <c r="AN66" s="193">
        <f t="shared" si="1"/>
        <v>206.76900000000001</v>
      </c>
      <c r="AO66" s="193">
        <f t="shared" si="16"/>
        <v>3223.22</v>
      </c>
      <c r="AR66" s="15">
        <v>209.30500000000001</v>
      </c>
      <c r="AS66" s="14">
        <f t="shared" si="17"/>
        <v>-2.5360000000000014</v>
      </c>
      <c r="AU66" s="69"/>
    </row>
    <row r="67" spans="1:47" ht="39" customHeight="1" x14ac:dyDescent="0.2">
      <c r="A67" s="75" t="s">
        <v>201</v>
      </c>
      <c r="B67" s="85" t="s">
        <v>322</v>
      </c>
      <c r="C67" s="74" t="s">
        <v>280</v>
      </c>
      <c r="D67" s="193">
        <v>7.883</v>
      </c>
      <c r="E67" s="193">
        <v>12.7224</v>
      </c>
      <c r="F67" s="193">
        <f t="shared" si="4"/>
        <v>100.291</v>
      </c>
      <c r="G67" s="193">
        <v>5.843</v>
      </c>
      <c r="H67" s="193">
        <v>12.7224</v>
      </c>
      <c r="I67" s="193">
        <f t="shared" si="5"/>
        <v>74.337000000000003</v>
      </c>
      <c r="J67" s="196">
        <v>5.1829999999999998</v>
      </c>
      <c r="K67" s="193">
        <v>12.7224</v>
      </c>
      <c r="L67" s="193">
        <f t="shared" si="6"/>
        <v>65.94</v>
      </c>
      <c r="M67" s="197">
        <v>6.2229999999999999</v>
      </c>
      <c r="N67" s="193">
        <v>12.7224</v>
      </c>
      <c r="O67" s="193">
        <f t="shared" si="7"/>
        <v>79.171000000000006</v>
      </c>
      <c r="P67" s="197">
        <v>4.7229999999999999</v>
      </c>
      <c r="Q67" s="193">
        <v>12.7224</v>
      </c>
      <c r="R67" s="193">
        <f t="shared" si="8"/>
        <v>60.088000000000001</v>
      </c>
      <c r="S67" s="195">
        <v>3.2429999999999999</v>
      </c>
      <c r="T67" s="193">
        <v>12.7224</v>
      </c>
      <c r="U67" s="193">
        <f t="shared" si="9"/>
        <v>41.259</v>
      </c>
      <c r="V67" s="201">
        <v>2.4430000000000001</v>
      </c>
      <c r="W67" s="195">
        <v>14.261799999999999</v>
      </c>
      <c r="X67" s="193">
        <f t="shared" si="10"/>
        <v>34.841999999999999</v>
      </c>
      <c r="Y67" s="202">
        <v>4.9429999999999996</v>
      </c>
      <c r="Z67" s="195">
        <v>14.261799999999999</v>
      </c>
      <c r="AA67" s="193">
        <f t="shared" si="11"/>
        <v>70.495999999999995</v>
      </c>
      <c r="AB67" s="198">
        <v>4.5830000000000002</v>
      </c>
      <c r="AC67" s="195">
        <v>14.261799999999999</v>
      </c>
      <c r="AD67" s="193">
        <f t="shared" si="12"/>
        <v>65.361999999999995</v>
      </c>
      <c r="AE67" s="193">
        <v>4.5629999999999997</v>
      </c>
      <c r="AF67" s="195">
        <v>14.261799999999999</v>
      </c>
      <c r="AG67" s="193">
        <f t="shared" si="13"/>
        <v>65.076999999999998</v>
      </c>
      <c r="AH67" s="198">
        <v>4.4829999999999997</v>
      </c>
      <c r="AI67" s="195">
        <v>14.261799999999999</v>
      </c>
      <c r="AJ67" s="193">
        <f t="shared" si="14"/>
        <v>63.936</v>
      </c>
      <c r="AK67" s="193">
        <v>4.843</v>
      </c>
      <c r="AL67" s="195">
        <v>14.261799999999999</v>
      </c>
      <c r="AM67" s="193">
        <f t="shared" si="15"/>
        <v>69.069999999999993</v>
      </c>
      <c r="AN67" s="193">
        <f t="shared" si="1"/>
        <v>58.955999999999989</v>
      </c>
      <c r="AO67" s="193">
        <f t="shared" si="16"/>
        <v>789.86899999999991</v>
      </c>
      <c r="AR67" s="15">
        <v>57.116</v>
      </c>
      <c r="AS67" s="14">
        <f t="shared" si="17"/>
        <v>1.8399999999999892</v>
      </c>
    </row>
    <row r="68" spans="1:47" ht="36" customHeight="1" x14ac:dyDescent="0.2">
      <c r="A68" s="75" t="s">
        <v>202</v>
      </c>
      <c r="B68" s="85" t="s">
        <v>323</v>
      </c>
      <c r="C68" s="74" t="s">
        <v>280</v>
      </c>
      <c r="D68" s="193">
        <v>0.72199999999999998</v>
      </c>
      <c r="E68" s="193">
        <v>14.9557</v>
      </c>
      <c r="F68" s="193">
        <f t="shared" si="4"/>
        <v>10.798</v>
      </c>
      <c r="G68" s="193">
        <v>1.3120000000000001</v>
      </c>
      <c r="H68" s="193">
        <v>14.9557</v>
      </c>
      <c r="I68" s="193">
        <f t="shared" si="5"/>
        <v>19.622</v>
      </c>
      <c r="J68" s="196">
        <v>0.71899999999999997</v>
      </c>
      <c r="K68" s="193">
        <v>14.9557</v>
      </c>
      <c r="L68" s="193">
        <f t="shared" si="6"/>
        <v>10.753</v>
      </c>
      <c r="M68" s="197">
        <v>0.79300000000000004</v>
      </c>
      <c r="N68" s="193">
        <v>14.9557</v>
      </c>
      <c r="O68" s="193">
        <f t="shared" si="7"/>
        <v>11.86</v>
      </c>
      <c r="P68" s="197">
        <v>0.46</v>
      </c>
      <c r="Q68" s="193">
        <v>14.9557</v>
      </c>
      <c r="R68" s="193">
        <f t="shared" si="8"/>
        <v>6.88</v>
      </c>
      <c r="S68" s="195">
        <v>0.23200000000000001</v>
      </c>
      <c r="T68" s="193">
        <v>14.9557</v>
      </c>
      <c r="U68" s="193">
        <f t="shared" si="9"/>
        <v>3.47</v>
      </c>
      <c r="V68" s="201">
        <v>0.27300000000000002</v>
      </c>
      <c r="W68" s="195">
        <v>16.7654</v>
      </c>
      <c r="X68" s="193">
        <f t="shared" si="10"/>
        <v>4.577</v>
      </c>
      <c r="Y68" s="202">
        <v>0.155</v>
      </c>
      <c r="Z68" s="195">
        <v>16.7654</v>
      </c>
      <c r="AA68" s="193">
        <f t="shared" si="11"/>
        <v>2.5990000000000002</v>
      </c>
      <c r="AB68" s="198">
        <v>0.50600000000000001</v>
      </c>
      <c r="AC68" s="195">
        <v>16.7654</v>
      </c>
      <c r="AD68" s="193">
        <f t="shared" si="12"/>
        <v>8.4830000000000005</v>
      </c>
      <c r="AE68" s="193">
        <v>0.81200000000000006</v>
      </c>
      <c r="AF68" s="195">
        <v>16.7654</v>
      </c>
      <c r="AG68" s="193">
        <f t="shared" si="13"/>
        <v>13.614000000000001</v>
      </c>
      <c r="AH68" s="198">
        <v>0.79600000000000004</v>
      </c>
      <c r="AI68" s="195">
        <v>16.7654</v>
      </c>
      <c r="AJ68" s="193">
        <f t="shared" si="14"/>
        <v>13.345000000000001</v>
      </c>
      <c r="AK68" s="193">
        <v>1.284</v>
      </c>
      <c r="AL68" s="195">
        <v>16.7654</v>
      </c>
      <c r="AM68" s="193">
        <f t="shared" si="15"/>
        <v>21.527000000000001</v>
      </c>
      <c r="AN68" s="193">
        <f t="shared" si="1"/>
        <v>8.0640000000000018</v>
      </c>
      <c r="AO68" s="193">
        <f t="shared" si="16"/>
        <v>127.52800000000002</v>
      </c>
      <c r="AR68" s="15">
        <v>7.093</v>
      </c>
      <c r="AS68" s="14">
        <f t="shared" si="17"/>
        <v>0.97100000000000186</v>
      </c>
    </row>
    <row r="69" spans="1:47" ht="36.75" customHeight="1" x14ac:dyDescent="0.2">
      <c r="A69" s="75" t="s">
        <v>203</v>
      </c>
      <c r="B69" s="85" t="s">
        <v>324</v>
      </c>
      <c r="C69" s="74" t="s">
        <v>280</v>
      </c>
      <c r="D69" s="193">
        <v>3.04</v>
      </c>
      <c r="E69" s="193">
        <v>14.9557</v>
      </c>
      <c r="F69" s="193">
        <f t="shared" si="4"/>
        <v>45.465000000000003</v>
      </c>
      <c r="G69" s="193">
        <v>2.7090000000000001</v>
      </c>
      <c r="H69" s="193">
        <v>14.9557</v>
      </c>
      <c r="I69" s="193">
        <f t="shared" si="5"/>
        <v>40.515000000000001</v>
      </c>
      <c r="J69" s="196">
        <v>3.12</v>
      </c>
      <c r="K69" s="193">
        <v>14.9557</v>
      </c>
      <c r="L69" s="193">
        <f t="shared" si="6"/>
        <v>46.661999999999999</v>
      </c>
      <c r="M69" s="197">
        <v>2.69</v>
      </c>
      <c r="N69" s="193">
        <v>14.9557</v>
      </c>
      <c r="O69" s="193">
        <f t="shared" si="7"/>
        <v>40.231000000000002</v>
      </c>
      <c r="P69" s="197">
        <v>2.4169999999999998</v>
      </c>
      <c r="Q69" s="193">
        <v>14.9557</v>
      </c>
      <c r="R69" s="193">
        <f t="shared" si="8"/>
        <v>36.148000000000003</v>
      </c>
      <c r="S69" s="195">
        <v>2.2669999999999999</v>
      </c>
      <c r="T69" s="193">
        <v>14.9557</v>
      </c>
      <c r="U69" s="193">
        <f t="shared" si="9"/>
        <v>33.905000000000001</v>
      </c>
      <c r="V69" s="201">
        <v>0.38</v>
      </c>
      <c r="W69" s="195">
        <v>16.7654</v>
      </c>
      <c r="X69" s="193">
        <f t="shared" si="10"/>
        <v>6.3710000000000004</v>
      </c>
      <c r="Y69" s="202">
        <v>1.3720000000000001</v>
      </c>
      <c r="Z69" s="195">
        <v>16.7654</v>
      </c>
      <c r="AA69" s="193">
        <f t="shared" si="11"/>
        <v>23.001999999999999</v>
      </c>
      <c r="AB69" s="198">
        <v>2.5830000000000002</v>
      </c>
      <c r="AC69" s="195">
        <v>16.7654</v>
      </c>
      <c r="AD69" s="193">
        <f t="shared" si="12"/>
        <v>43.305</v>
      </c>
      <c r="AE69" s="193">
        <v>2.3540000000000001</v>
      </c>
      <c r="AF69" s="195">
        <v>16.7654</v>
      </c>
      <c r="AG69" s="193">
        <f t="shared" si="13"/>
        <v>39.466000000000001</v>
      </c>
      <c r="AH69" s="198">
        <v>2.3260000000000001</v>
      </c>
      <c r="AI69" s="195">
        <v>16.7654</v>
      </c>
      <c r="AJ69" s="193">
        <f t="shared" si="14"/>
        <v>38.996000000000002</v>
      </c>
      <c r="AK69" s="193">
        <v>2.7829999999999999</v>
      </c>
      <c r="AL69" s="195">
        <v>16.7654</v>
      </c>
      <c r="AM69" s="193">
        <f t="shared" si="15"/>
        <v>46.658000000000001</v>
      </c>
      <c r="AN69" s="193">
        <f t="shared" si="1"/>
        <v>28.040999999999997</v>
      </c>
      <c r="AO69" s="193">
        <f t="shared" si="16"/>
        <v>440.72399999999999</v>
      </c>
      <c r="AR69" s="15">
        <v>24.908000000000001</v>
      </c>
      <c r="AS69" s="14">
        <f t="shared" si="17"/>
        <v>3.1329999999999956</v>
      </c>
      <c r="AU69" s="69"/>
    </row>
    <row r="70" spans="1:47" ht="36" customHeight="1" x14ac:dyDescent="0.2">
      <c r="A70" s="75" t="s">
        <v>204</v>
      </c>
      <c r="B70" s="85" t="s">
        <v>325</v>
      </c>
      <c r="C70" s="74" t="s">
        <v>280</v>
      </c>
      <c r="D70" s="193">
        <v>1.0860000000000001</v>
      </c>
      <c r="E70" s="193">
        <v>14.9557</v>
      </c>
      <c r="F70" s="193">
        <f t="shared" si="4"/>
        <v>16.242000000000001</v>
      </c>
      <c r="G70" s="193">
        <v>1.006</v>
      </c>
      <c r="H70" s="193">
        <v>14.9557</v>
      </c>
      <c r="I70" s="193">
        <f t="shared" si="5"/>
        <v>15.045</v>
      </c>
      <c r="J70" s="196">
        <v>0.94599999999999995</v>
      </c>
      <c r="K70" s="193">
        <v>14.9557</v>
      </c>
      <c r="L70" s="193">
        <f t="shared" si="6"/>
        <v>14.148</v>
      </c>
      <c r="M70" s="197">
        <v>0.96599999999999997</v>
      </c>
      <c r="N70" s="193">
        <v>14.9557</v>
      </c>
      <c r="O70" s="193">
        <f t="shared" si="7"/>
        <v>14.446999999999999</v>
      </c>
      <c r="P70" s="197">
        <v>0.64600000000000002</v>
      </c>
      <c r="Q70" s="193">
        <v>14.9557</v>
      </c>
      <c r="R70" s="193">
        <f t="shared" si="8"/>
        <v>9.6609999999999996</v>
      </c>
      <c r="S70" s="195">
        <v>0.52600000000000002</v>
      </c>
      <c r="T70" s="193">
        <v>14.9557</v>
      </c>
      <c r="U70" s="193">
        <f t="shared" si="9"/>
        <v>7.867</v>
      </c>
      <c r="V70" s="201">
        <v>0.48599999999999999</v>
      </c>
      <c r="W70" s="195">
        <v>16.7654</v>
      </c>
      <c r="X70" s="193">
        <f t="shared" si="10"/>
        <v>8.1479999999999997</v>
      </c>
      <c r="Y70" s="202">
        <v>0.54600000000000004</v>
      </c>
      <c r="Z70" s="195">
        <v>16.7654</v>
      </c>
      <c r="AA70" s="193">
        <f t="shared" si="11"/>
        <v>9.1539999999999999</v>
      </c>
      <c r="AB70" s="198">
        <v>0.84599999999999997</v>
      </c>
      <c r="AC70" s="195">
        <v>16.7654</v>
      </c>
      <c r="AD70" s="193">
        <f t="shared" si="12"/>
        <v>14.183999999999999</v>
      </c>
      <c r="AE70" s="193">
        <v>0.84599999999999997</v>
      </c>
      <c r="AF70" s="195">
        <v>16.7654</v>
      </c>
      <c r="AG70" s="193">
        <f t="shared" si="13"/>
        <v>14.183999999999999</v>
      </c>
      <c r="AH70" s="198">
        <v>0.90600000000000003</v>
      </c>
      <c r="AI70" s="195">
        <v>16.7654</v>
      </c>
      <c r="AJ70" s="193">
        <f t="shared" si="14"/>
        <v>15.189</v>
      </c>
      <c r="AK70" s="193">
        <v>0.98599999999999999</v>
      </c>
      <c r="AL70" s="195">
        <v>16.7654</v>
      </c>
      <c r="AM70" s="193">
        <f t="shared" si="15"/>
        <v>16.530999999999999</v>
      </c>
      <c r="AN70" s="193">
        <f t="shared" si="1"/>
        <v>9.7920000000000016</v>
      </c>
      <c r="AO70" s="193">
        <f t="shared" si="16"/>
        <v>154.80000000000001</v>
      </c>
      <c r="AR70" s="15">
        <v>8.8719999999999999</v>
      </c>
      <c r="AS70" s="14">
        <f t="shared" si="17"/>
        <v>0.92000000000000171</v>
      </c>
    </row>
    <row r="71" spans="1:47" ht="33.75" customHeight="1" x14ac:dyDescent="0.2">
      <c r="A71" s="75" t="s">
        <v>205</v>
      </c>
      <c r="B71" s="85" t="s">
        <v>326</v>
      </c>
      <c r="C71" s="74" t="s">
        <v>280</v>
      </c>
      <c r="D71" s="193">
        <v>4.82</v>
      </c>
      <c r="E71" s="193">
        <v>12.7224</v>
      </c>
      <c r="F71" s="193">
        <f t="shared" si="4"/>
        <v>61.322000000000003</v>
      </c>
      <c r="G71" s="193">
        <v>4.68</v>
      </c>
      <c r="H71" s="193">
        <v>12.7224</v>
      </c>
      <c r="I71" s="193">
        <f t="shared" si="5"/>
        <v>59.540999999999997</v>
      </c>
      <c r="J71" s="196">
        <v>3.48</v>
      </c>
      <c r="K71" s="193">
        <v>12.7224</v>
      </c>
      <c r="L71" s="193">
        <f t="shared" si="6"/>
        <v>44.274000000000001</v>
      </c>
      <c r="M71" s="197">
        <v>4</v>
      </c>
      <c r="N71" s="193">
        <v>12.7224</v>
      </c>
      <c r="O71" s="193">
        <f t="shared" si="7"/>
        <v>50.89</v>
      </c>
      <c r="P71" s="197">
        <v>2.64</v>
      </c>
      <c r="Q71" s="193">
        <v>12.7224</v>
      </c>
      <c r="R71" s="193">
        <f t="shared" si="8"/>
        <v>33.587000000000003</v>
      </c>
      <c r="S71" s="195">
        <v>3.24</v>
      </c>
      <c r="T71" s="193">
        <v>12.7224</v>
      </c>
      <c r="U71" s="193">
        <f t="shared" si="9"/>
        <v>41.220999999999997</v>
      </c>
      <c r="V71" s="201">
        <v>1.2</v>
      </c>
      <c r="W71" s="195">
        <v>14.261799999999999</v>
      </c>
      <c r="X71" s="193">
        <f t="shared" si="10"/>
        <v>17.114000000000001</v>
      </c>
      <c r="Y71" s="202">
        <v>3.44</v>
      </c>
      <c r="Z71" s="195">
        <v>14.261799999999999</v>
      </c>
      <c r="AA71" s="193">
        <f t="shared" si="11"/>
        <v>49.061</v>
      </c>
      <c r="AB71" s="198">
        <v>4.4400000000000004</v>
      </c>
      <c r="AC71" s="195">
        <v>14.261799999999999</v>
      </c>
      <c r="AD71" s="193">
        <f t="shared" si="12"/>
        <v>63.322000000000003</v>
      </c>
      <c r="AE71" s="193">
        <v>3.88</v>
      </c>
      <c r="AF71" s="195">
        <v>14.261799999999999</v>
      </c>
      <c r="AG71" s="193">
        <f t="shared" si="13"/>
        <v>55.335999999999999</v>
      </c>
      <c r="AH71" s="198">
        <v>4.6399999999999997</v>
      </c>
      <c r="AI71" s="195">
        <v>14.261799999999999</v>
      </c>
      <c r="AJ71" s="193">
        <f t="shared" si="14"/>
        <v>66.174999999999997</v>
      </c>
      <c r="AK71" s="193">
        <v>4.04</v>
      </c>
      <c r="AL71" s="195">
        <v>14.261799999999999</v>
      </c>
      <c r="AM71" s="193">
        <f t="shared" si="15"/>
        <v>57.618000000000002</v>
      </c>
      <c r="AN71" s="193">
        <f t="shared" si="1"/>
        <v>44.5</v>
      </c>
      <c r="AO71" s="193">
        <f t="shared" si="16"/>
        <v>599.46100000000001</v>
      </c>
      <c r="AR71" s="15">
        <v>44.46</v>
      </c>
      <c r="AS71" s="14">
        <f t="shared" si="17"/>
        <v>3.9999999999999147E-2</v>
      </c>
      <c r="AU71" s="78"/>
    </row>
    <row r="72" spans="1:47" ht="36" customHeight="1" x14ac:dyDescent="0.2">
      <c r="A72" s="75" t="s">
        <v>206</v>
      </c>
      <c r="B72" s="73" t="s">
        <v>327</v>
      </c>
      <c r="C72" s="74" t="s">
        <v>280</v>
      </c>
      <c r="D72" s="193">
        <v>2.738</v>
      </c>
      <c r="E72" s="193">
        <v>14.9381</v>
      </c>
      <c r="F72" s="193">
        <f t="shared" si="4"/>
        <v>40.901000000000003</v>
      </c>
      <c r="G72" s="193">
        <v>2.677</v>
      </c>
      <c r="H72" s="193">
        <v>14.9381</v>
      </c>
      <c r="I72" s="193">
        <f t="shared" si="5"/>
        <v>39.988999999999997</v>
      </c>
      <c r="J72" s="196">
        <f>2.403+0.363</f>
        <v>2.766</v>
      </c>
      <c r="K72" s="193">
        <v>14.9381</v>
      </c>
      <c r="L72" s="193">
        <f t="shared" si="6"/>
        <v>41.319000000000003</v>
      </c>
      <c r="M72" s="197">
        <f>2.479+0.311</f>
        <v>2.79</v>
      </c>
      <c r="N72" s="193">
        <v>14.9381</v>
      </c>
      <c r="O72" s="193">
        <f t="shared" si="7"/>
        <v>41.677</v>
      </c>
      <c r="P72" s="197">
        <v>2.2709999999999999</v>
      </c>
      <c r="Q72" s="193">
        <v>14.9381</v>
      </c>
      <c r="R72" s="193">
        <f t="shared" si="8"/>
        <v>33.923999999999999</v>
      </c>
      <c r="S72" s="195">
        <v>2.4449999999999998</v>
      </c>
      <c r="T72" s="193">
        <v>14.9381</v>
      </c>
      <c r="U72" s="193">
        <f t="shared" si="9"/>
        <v>36.524000000000001</v>
      </c>
      <c r="V72" s="201">
        <v>1.034</v>
      </c>
      <c r="W72" s="195">
        <v>16.745699999999999</v>
      </c>
      <c r="X72" s="193">
        <f t="shared" si="10"/>
        <v>17.315000000000001</v>
      </c>
      <c r="Y72" s="200">
        <f>0.43+4.19</f>
        <v>4.62</v>
      </c>
      <c r="Z72" s="195">
        <v>16.745699999999999</v>
      </c>
      <c r="AA72" s="193">
        <f t="shared" si="11"/>
        <v>77.364999999999995</v>
      </c>
      <c r="AB72" s="198">
        <f>2.249+0.479</f>
        <v>2.7280000000000002</v>
      </c>
      <c r="AC72" s="195">
        <v>16.745699999999999</v>
      </c>
      <c r="AD72" s="193">
        <f t="shared" si="12"/>
        <v>45.682000000000002</v>
      </c>
      <c r="AE72" s="193">
        <f>2.487+0.495</f>
        <v>2.9820000000000002</v>
      </c>
      <c r="AF72" s="195">
        <v>16.745699999999999</v>
      </c>
      <c r="AG72" s="193">
        <f t="shared" si="13"/>
        <v>49.936</v>
      </c>
      <c r="AH72" s="198">
        <f>2.282+0.577</f>
        <v>2.859</v>
      </c>
      <c r="AI72" s="195">
        <v>16.745699999999999</v>
      </c>
      <c r="AJ72" s="193">
        <f t="shared" si="14"/>
        <v>47.875999999999998</v>
      </c>
      <c r="AK72" s="193">
        <f>2.359+0.327</f>
        <v>2.6859999999999999</v>
      </c>
      <c r="AL72" s="195">
        <v>16.745699999999999</v>
      </c>
      <c r="AM72" s="193">
        <f t="shared" si="15"/>
        <v>44.978999999999999</v>
      </c>
      <c r="AN72" s="193">
        <f t="shared" si="1"/>
        <v>32.596000000000004</v>
      </c>
      <c r="AO72" s="193">
        <f t="shared" si="16"/>
        <v>517.48699999999997</v>
      </c>
      <c r="AR72" s="15">
        <v>28.614999999999998</v>
      </c>
      <c r="AS72" s="14">
        <f t="shared" si="17"/>
        <v>3.9810000000000052</v>
      </c>
    </row>
    <row r="73" spans="1:47" ht="44.25" customHeight="1" x14ac:dyDescent="0.2">
      <c r="A73" s="75" t="s">
        <v>207</v>
      </c>
      <c r="B73" s="73" t="s">
        <v>328</v>
      </c>
      <c r="C73" s="74" t="s">
        <v>280</v>
      </c>
      <c r="D73" s="193">
        <v>8.8230000000000004</v>
      </c>
      <c r="E73" s="193">
        <v>14.6965</v>
      </c>
      <c r="F73" s="193">
        <f t="shared" si="4"/>
        <v>129.667</v>
      </c>
      <c r="G73" s="193">
        <v>8.2850000000000001</v>
      </c>
      <c r="H73" s="193">
        <v>14.6965</v>
      </c>
      <c r="I73" s="193">
        <f t="shared" si="5"/>
        <v>121.761</v>
      </c>
      <c r="J73" s="196">
        <v>7.5590000000000002</v>
      </c>
      <c r="K73" s="193">
        <v>14.6965</v>
      </c>
      <c r="L73" s="193">
        <f t="shared" si="6"/>
        <v>111.09099999999999</v>
      </c>
      <c r="M73" s="197">
        <v>7.1879999999999997</v>
      </c>
      <c r="N73" s="193">
        <v>14.6965</v>
      </c>
      <c r="O73" s="193">
        <f t="shared" si="7"/>
        <v>105.63800000000001</v>
      </c>
      <c r="P73" s="197">
        <f>5.394+0.512</f>
        <v>5.9060000000000006</v>
      </c>
      <c r="Q73" s="193">
        <v>14.6965</v>
      </c>
      <c r="R73" s="193">
        <f t="shared" si="8"/>
        <v>86.798000000000002</v>
      </c>
      <c r="S73" s="195">
        <v>4.0670000000000002</v>
      </c>
      <c r="T73" s="193">
        <v>14.6965</v>
      </c>
      <c r="U73" s="193">
        <f t="shared" si="9"/>
        <v>59.771000000000001</v>
      </c>
      <c r="V73" s="201">
        <v>5.9859999999999998</v>
      </c>
      <c r="W73" s="195">
        <v>16.474799999999998</v>
      </c>
      <c r="X73" s="193">
        <f t="shared" si="10"/>
        <v>98.617999999999995</v>
      </c>
      <c r="Y73" s="197">
        <v>5.17</v>
      </c>
      <c r="Z73" s="195">
        <v>16.474799999999998</v>
      </c>
      <c r="AA73" s="193">
        <f t="shared" si="11"/>
        <v>85.174999999999997</v>
      </c>
      <c r="AB73" s="198">
        <v>6.85</v>
      </c>
      <c r="AC73" s="195">
        <v>16.474799999999998</v>
      </c>
      <c r="AD73" s="193">
        <f t="shared" si="12"/>
        <v>112.852</v>
      </c>
      <c r="AE73" s="193">
        <f>5.735+0.449</f>
        <v>6.1840000000000002</v>
      </c>
      <c r="AF73" s="195">
        <v>16.474799999999998</v>
      </c>
      <c r="AG73" s="193">
        <f t="shared" si="13"/>
        <v>101.88</v>
      </c>
      <c r="AH73" s="198">
        <f>5.624+0.51</f>
        <v>6.1339999999999995</v>
      </c>
      <c r="AI73" s="195">
        <v>16.474799999999998</v>
      </c>
      <c r="AJ73" s="193">
        <f t="shared" si="14"/>
        <v>101.056</v>
      </c>
      <c r="AK73" s="193">
        <f>7.238+0.611</f>
        <v>7.8490000000000002</v>
      </c>
      <c r="AL73" s="195">
        <v>16.474799999999998</v>
      </c>
      <c r="AM73" s="193">
        <f t="shared" si="15"/>
        <v>129.31100000000001</v>
      </c>
      <c r="AN73" s="193">
        <f t="shared" si="1"/>
        <v>80.001000000000005</v>
      </c>
      <c r="AO73" s="193">
        <f t="shared" si="16"/>
        <v>1243.6179999999999</v>
      </c>
      <c r="AR73" s="15">
        <v>77.977000000000004</v>
      </c>
      <c r="AS73" s="14">
        <f t="shared" si="17"/>
        <v>2.0240000000000009</v>
      </c>
    </row>
    <row r="74" spans="1:47" ht="34.5" customHeight="1" x14ac:dyDescent="0.2">
      <c r="A74" s="75" t="s">
        <v>208</v>
      </c>
      <c r="B74" s="73" t="s">
        <v>329</v>
      </c>
      <c r="C74" s="74" t="s">
        <v>280</v>
      </c>
      <c r="D74" s="193">
        <v>5.9189999999999996</v>
      </c>
      <c r="E74" s="193">
        <v>14.9557</v>
      </c>
      <c r="F74" s="193">
        <f t="shared" si="4"/>
        <v>88.522999999999996</v>
      </c>
      <c r="G74" s="193">
        <v>6.3010000000000002</v>
      </c>
      <c r="H74" s="193">
        <v>14.9557</v>
      </c>
      <c r="I74" s="193">
        <f t="shared" si="5"/>
        <v>94.236000000000004</v>
      </c>
      <c r="J74" s="196">
        <v>5.9569999999999999</v>
      </c>
      <c r="K74" s="193">
        <v>14.9557</v>
      </c>
      <c r="L74" s="193">
        <f t="shared" si="6"/>
        <v>89.090999999999994</v>
      </c>
      <c r="M74" s="197">
        <v>6.4050000000000002</v>
      </c>
      <c r="N74" s="193">
        <v>14.9557</v>
      </c>
      <c r="O74" s="193">
        <f t="shared" si="7"/>
        <v>95.790999999999997</v>
      </c>
      <c r="P74" s="197">
        <v>7.8170000000000002</v>
      </c>
      <c r="Q74" s="193">
        <v>14.9557</v>
      </c>
      <c r="R74" s="193">
        <f t="shared" si="8"/>
        <v>116.90900000000001</v>
      </c>
      <c r="S74" s="195">
        <v>3.5169999999999999</v>
      </c>
      <c r="T74" s="193">
        <v>14.9557</v>
      </c>
      <c r="U74" s="193">
        <f t="shared" si="9"/>
        <v>52.598999999999997</v>
      </c>
      <c r="V74" s="201">
        <v>3.89</v>
      </c>
      <c r="W74" s="195">
        <v>16.7654</v>
      </c>
      <c r="X74" s="193">
        <f t="shared" si="10"/>
        <v>65.216999999999999</v>
      </c>
      <c r="Y74" s="197">
        <v>6.7309999999999999</v>
      </c>
      <c r="Z74" s="195">
        <v>16.7654</v>
      </c>
      <c r="AA74" s="193">
        <f t="shared" si="11"/>
        <v>112.848</v>
      </c>
      <c r="AB74" s="198">
        <v>6.4560000000000004</v>
      </c>
      <c r="AC74" s="195">
        <v>16.7654</v>
      </c>
      <c r="AD74" s="193">
        <f t="shared" si="12"/>
        <v>108.23699999999999</v>
      </c>
      <c r="AE74" s="193">
        <v>6.1159999999999997</v>
      </c>
      <c r="AF74" s="195">
        <v>16.7654</v>
      </c>
      <c r="AG74" s="193">
        <f t="shared" si="13"/>
        <v>102.53700000000001</v>
      </c>
      <c r="AH74" s="198">
        <v>6.0519999999999996</v>
      </c>
      <c r="AI74" s="195">
        <v>16.7654</v>
      </c>
      <c r="AJ74" s="193">
        <f t="shared" si="14"/>
        <v>101.464</v>
      </c>
      <c r="AK74" s="193">
        <v>6.4809999999999999</v>
      </c>
      <c r="AL74" s="195">
        <v>16.7654</v>
      </c>
      <c r="AM74" s="193">
        <f t="shared" si="15"/>
        <v>108.657</v>
      </c>
      <c r="AN74" s="193">
        <f t="shared" si="1"/>
        <v>71.641999999999996</v>
      </c>
      <c r="AO74" s="193">
        <f t="shared" si="16"/>
        <v>1136.1089999999999</v>
      </c>
      <c r="AR74" s="15">
        <v>67.893999999999991</v>
      </c>
      <c r="AS74" s="14">
        <f t="shared" si="17"/>
        <v>3.7480000000000047</v>
      </c>
      <c r="AT74" s="69"/>
      <c r="AU74" s="78"/>
    </row>
    <row r="75" spans="1:47" s="70" customFormat="1" ht="35.25" customHeight="1" x14ac:dyDescent="0.25">
      <c r="A75" s="87" t="s">
        <v>209</v>
      </c>
      <c r="B75" s="88" t="s">
        <v>330</v>
      </c>
      <c r="C75" s="74" t="s">
        <v>280</v>
      </c>
      <c r="D75" s="193">
        <v>3.3420000000000001</v>
      </c>
      <c r="E75" s="193">
        <v>14.9557</v>
      </c>
      <c r="F75" s="193">
        <f t="shared" si="4"/>
        <v>49.981999999999999</v>
      </c>
      <c r="G75" s="193">
        <v>2.8839999999999999</v>
      </c>
      <c r="H75" s="193">
        <v>14.9557</v>
      </c>
      <c r="I75" s="193">
        <f t="shared" si="5"/>
        <v>43.131999999999998</v>
      </c>
      <c r="J75" s="196">
        <v>2.6259999999999999</v>
      </c>
      <c r="K75" s="193">
        <v>14.9557</v>
      </c>
      <c r="L75" s="193">
        <f t="shared" si="6"/>
        <v>39.274000000000001</v>
      </c>
      <c r="M75" s="197">
        <v>3.1539999999999999</v>
      </c>
      <c r="N75" s="193">
        <v>14.9557</v>
      </c>
      <c r="O75" s="193">
        <f t="shared" si="7"/>
        <v>47.17</v>
      </c>
      <c r="P75" s="197">
        <v>2.1349999999999998</v>
      </c>
      <c r="Q75" s="193">
        <v>14.9557</v>
      </c>
      <c r="R75" s="193">
        <f t="shared" si="8"/>
        <v>31.93</v>
      </c>
      <c r="S75" s="195">
        <v>2.5</v>
      </c>
      <c r="T75" s="193">
        <v>14.9557</v>
      </c>
      <c r="U75" s="193">
        <f t="shared" si="9"/>
        <v>37.389000000000003</v>
      </c>
      <c r="V75" s="201">
        <v>2.964</v>
      </c>
      <c r="W75" s="195">
        <v>16.7654</v>
      </c>
      <c r="X75" s="193">
        <f t="shared" si="10"/>
        <v>49.692999999999998</v>
      </c>
      <c r="Y75" s="197">
        <v>10.164999999999999</v>
      </c>
      <c r="Z75" s="195">
        <v>16.7654</v>
      </c>
      <c r="AA75" s="193">
        <f t="shared" si="11"/>
        <v>170.42</v>
      </c>
      <c r="AB75" s="198">
        <v>9.8000000000000007</v>
      </c>
      <c r="AC75" s="195">
        <v>16.7654</v>
      </c>
      <c r="AD75" s="193">
        <f t="shared" si="12"/>
        <v>164.30099999999999</v>
      </c>
      <c r="AE75" s="193">
        <v>9.8000000000000007</v>
      </c>
      <c r="AF75" s="195">
        <v>16.7654</v>
      </c>
      <c r="AG75" s="193">
        <f t="shared" si="13"/>
        <v>164.30099999999999</v>
      </c>
      <c r="AH75" s="198">
        <v>9.8000000000000007</v>
      </c>
      <c r="AI75" s="195">
        <v>16.7654</v>
      </c>
      <c r="AJ75" s="193">
        <f t="shared" si="14"/>
        <v>164.30099999999999</v>
      </c>
      <c r="AK75" s="193">
        <v>9.8000000000000007</v>
      </c>
      <c r="AL75" s="195">
        <v>16.7654</v>
      </c>
      <c r="AM75" s="193">
        <f t="shared" si="15"/>
        <v>164.30099999999999</v>
      </c>
      <c r="AN75" s="193">
        <f t="shared" si="1"/>
        <v>68.969999999999985</v>
      </c>
      <c r="AO75" s="193">
        <f t="shared" si="16"/>
        <v>1126.1939999999997</v>
      </c>
      <c r="AR75" s="70">
        <v>34.97</v>
      </c>
      <c r="AS75" s="71">
        <f t="shared" si="17"/>
        <v>33.999999999999986</v>
      </c>
      <c r="AU75" s="78">
        <v>3</v>
      </c>
    </row>
    <row r="76" spans="1:47" ht="33.75" customHeight="1" x14ac:dyDescent="0.2">
      <c r="A76" s="75" t="s">
        <v>210</v>
      </c>
      <c r="B76" s="73" t="s">
        <v>331</v>
      </c>
      <c r="C76" s="74" t="s">
        <v>280</v>
      </c>
      <c r="D76" s="193">
        <v>4.5389999999999997</v>
      </c>
      <c r="E76" s="193">
        <v>12.7224</v>
      </c>
      <c r="F76" s="193">
        <f t="shared" si="4"/>
        <v>57.747</v>
      </c>
      <c r="G76" s="193">
        <v>5.0170000000000003</v>
      </c>
      <c r="H76" s="193">
        <v>12.7224</v>
      </c>
      <c r="I76" s="193">
        <f t="shared" si="5"/>
        <v>63.828000000000003</v>
      </c>
      <c r="J76" s="196">
        <v>4.5789999999999997</v>
      </c>
      <c r="K76" s="193">
        <v>12.7224</v>
      </c>
      <c r="L76" s="193">
        <f t="shared" si="6"/>
        <v>58.256</v>
      </c>
      <c r="M76" s="197">
        <v>4.1630000000000003</v>
      </c>
      <c r="N76" s="193">
        <v>12.7224</v>
      </c>
      <c r="O76" s="193">
        <f t="shared" si="7"/>
        <v>52.963000000000001</v>
      </c>
      <c r="P76" s="197">
        <v>4.7</v>
      </c>
      <c r="Q76" s="193">
        <v>12.7224</v>
      </c>
      <c r="R76" s="193">
        <f t="shared" si="8"/>
        <v>59.795000000000002</v>
      </c>
      <c r="S76" s="195">
        <v>6.319</v>
      </c>
      <c r="T76" s="193">
        <v>12.7224</v>
      </c>
      <c r="U76" s="193">
        <f t="shared" si="9"/>
        <v>80.393000000000001</v>
      </c>
      <c r="V76" s="201">
        <v>5.4390000000000001</v>
      </c>
      <c r="W76" s="195">
        <v>14.261799999999999</v>
      </c>
      <c r="X76" s="193">
        <f t="shared" si="10"/>
        <v>77.569999999999993</v>
      </c>
      <c r="Y76" s="197">
        <v>6.0789999999999997</v>
      </c>
      <c r="Z76" s="195">
        <v>14.261799999999999</v>
      </c>
      <c r="AA76" s="193">
        <f t="shared" si="11"/>
        <v>86.697000000000003</v>
      </c>
      <c r="AB76" s="198">
        <v>6.1589999999999998</v>
      </c>
      <c r="AC76" s="195">
        <v>14.261799999999999</v>
      </c>
      <c r="AD76" s="193">
        <f t="shared" si="12"/>
        <v>87.837999999999994</v>
      </c>
      <c r="AE76" s="193">
        <v>5.3860000000000001</v>
      </c>
      <c r="AF76" s="195">
        <v>14.261799999999999</v>
      </c>
      <c r="AG76" s="193">
        <f t="shared" si="13"/>
        <v>76.813999999999993</v>
      </c>
      <c r="AH76" s="198">
        <v>5.3049999999999997</v>
      </c>
      <c r="AI76" s="195">
        <v>14.261799999999999</v>
      </c>
      <c r="AJ76" s="193">
        <f t="shared" si="14"/>
        <v>75.659000000000006</v>
      </c>
      <c r="AK76" s="193">
        <v>5.5510000000000002</v>
      </c>
      <c r="AL76" s="195">
        <v>14.261799999999999</v>
      </c>
      <c r="AM76" s="193">
        <f t="shared" si="15"/>
        <v>79.167000000000002</v>
      </c>
      <c r="AN76" s="193">
        <f t="shared" si="1"/>
        <v>63.236000000000004</v>
      </c>
      <c r="AO76" s="193">
        <f t="shared" si="16"/>
        <v>856.72699999999998</v>
      </c>
      <c r="AR76" s="15">
        <v>58.546999999999997</v>
      </c>
      <c r="AS76" s="14">
        <f t="shared" si="17"/>
        <v>4.6890000000000072</v>
      </c>
    </row>
    <row r="77" spans="1:47" ht="35.25" customHeight="1" x14ac:dyDescent="0.2">
      <c r="A77" s="75" t="s">
        <v>211</v>
      </c>
      <c r="B77" s="73" t="s">
        <v>332</v>
      </c>
      <c r="C77" s="74" t="s">
        <v>280</v>
      </c>
      <c r="D77" s="193">
        <v>2.73</v>
      </c>
      <c r="E77" s="193">
        <v>14.9558</v>
      </c>
      <c r="F77" s="193">
        <f t="shared" si="4"/>
        <v>40.829000000000001</v>
      </c>
      <c r="G77" s="193">
        <v>3.2519999999999998</v>
      </c>
      <c r="H77" s="193">
        <v>14.9558</v>
      </c>
      <c r="I77" s="193">
        <f t="shared" si="5"/>
        <v>48.636000000000003</v>
      </c>
      <c r="J77" s="196">
        <v>2.7320000000000002</v>
      </c>
      <c r="K77" s="193">
        <v>14.9558</v>
      </c>
      <c r="L77" s="193">
        <f t="shared" si="6"/>
        <v>40.859000000000002</v>
      </c>
      <c r="M77" s="197">
        <v>3.1520000000000001</v>
      </c>
      <c r="N77" s="193">
        <v>14.9558</v>
      </c>
      <c r="O77" s="193">
        <f t="shared" si="7"/>
        <v>47.140999999999998</v>
      </c>
      <c r="P77" s="197">
        <v>2.04</v>
      </c>
      <c r="Q77" s="193">
        <v>14.9558</v>
      </c>
      <c r="R77" s="193">
        <f t="shared" si="8"/>
        <v>30.51</v>
      </c>
      <c r="S77" s="195">
        <v>2.16</v>
      </c>
      <c r="T77" s="193">
        <v>14.9558</v>
      </c>
      <c r="U77" s="193">
        <f t="shared" si="9"/>
        <v>32.305</v>
      </c>
      <c r="V77" s="201">
        <v>0.95199999999999996</v>
      </c>
      <c r="W77" s="195">
        <v>16.7654</v>
      </c>
      <c r="X77" s="193">
        <f t="shared" si="10"/>
        <v>15.961</v>
      </c>
      <c r="Y77" s="197">
        <v>2.0720000000000001</v>
      </c>
      <c r="Z77" s="195">
        <v>16.7654</v>
      </c>
      <c r="AA77" s="193">
        <f t="shared" si="11"/>
        <v>34.738</v>
      </c>
      <c r="AB77" s="198">
        <v>2.8119999999999998</v>
      </c>
      <c r="AC77" s="195">
        <v>16.7654</v>
      </c>
      <c r="AD77" s="193">
        <f t="shared" si="12"/>
        <v>47.143999999999998</v>
      </c>
      <c r="AE77" s="193">
        <v>2.8519999999999999</v>
      </c>
      <c r="AF77" s="195">
        <v>16.7654</v>
      </c>
      <c r="AG77" s="193">
        <f t="shared" si="13"/>
        <v>47.814999999999998</v>
      </c>
      <c r="AH77" s="198">
        <v>2.4900000000000002</v>
      </c>
      <c r="AI77" s="195">
        <v>16.7654</v>
      </c>
      <c r="AJ77" s="193">
        <f t="shared" si="14"/>
        <v>41.746000000000002</v>
      </c>
      <c r="AK77" s="193">
        <v>2.85</v>
      </c>
      <c r="AL77" s="195">
        <v>16.7654</v>
      </c>
      <c r="AM77" s="193">
        <f t="shared" si="15"/>
        <v>47.780999999999999</v>
      </c>
      <c r="AN77" s="193">
        <f t="shared" si="1"/>
        <v>30.094000000000001</v>
      </c>
      <c r="AO77" s="193">
        <f t="shared" si="16"/>
        <v>475.46499999999997</v>
      </c>
      <c r="AR77" s="15">
        <v>30.037999999999997</v>
      </c>
      <c r="AS77" s="14">
        <f t="shared" si="17"/>
        <v>5.6000000000004491E-2</v>
      </c>
    </row>
    <row r="78" spans="1:47" ht="36" customHeight="1" x14ac:dyDescent="0.2">
      <c r="A78" s="75" t="s">
        <v>212</v>
      </c>
      <c r="B78" s="85" t="s">
        <v>333</v>
      </c>
      <c r="C78" s="74" t="s">
        <v>280</v>
      </c>
      <c r="D78" s="193">
        <v>1.95</v>
      </c>
      <c r="E78" s="193">
        <v>14.9558</v>
      </c>
      <c r="F78" s="193">
        <f t="shared" si="4"/>
        <v>29.164000000000001</v>
      </c>
      <c r="G78" s="193">
        <v>0.95</v>
      </c>
      <c r="H78" s="193">
        <v>14.9558</v>
      </c>
      <c r="I78" s="193">
        <f t="shared" si="5"/>
        <v>14.208</v>
      </c>
      <c r="J78" s="196">
        <v>1.1299999999999999</v>
      </c>
      <c r="K78" s="193">
        <v>14.9558</v>
      </c>
      <c r="L78" s="193">
        <f t="shared" si="6"/>
        <v>16.899999999999999</v>
      </c>
      <c r="M78" s="197">
        <v>0.87</v>
      </c>
      <c r="N78" s="193">
        <v>14.9558</v>
      </c>
      <c r="O78" s="193">
        <f t="shared" si="7"/>
        <v>13.012</v>
      </c>
      <c r="P78" s="197">
        <v>0.45</v>
      </c>
      <c r="Q78" s="193">
        <v>14.9558</v>
      </c>
      <c r="R78" s="193">
        <f t="shared" si="8"/>
        <v>6.73</v>
      </c>
      <c r="S78" s="195">
        <v>0.33</v>
      </c>
      <c r="T78" s="193">
        <v>14.9558</v>
      </c>
      <c r="U78" s="193">
        <f t="shared" si="9"/>
        <v>4.9349999999999996</v>
      </c>
      <c r="V78" s="201">
        <v>0.37</v>
      </c>
      <c r="W78" s="195">
        <v>16.7654</v>
      </c>
      <c r="X78" s="193">
        <f t="shared" si="10"/>
        <v>6.2030000000000003</v>
      </c>
      <c r="Y78" s="197">
        <v>0.39</v>
      </c>
      <c r="Z78" s="195">
        <v>16.7654</v>
      </c>
      <c r="AA78" s="193">
        <f t="shared" si="11"/>
        <v>6.5389999999999997</v>
      </c>
      <c r="AB78" s="198">
        <v>0.45</v>
      </c>
      <c r="AC78" s="195">
        <v>16.7654</v>
      </c>
      <c r="AD78" s="193">
        <f t="shared" si="12"/>
        <v>7.5439999999999996</v>
      </c>
      <c r="AE78" s="193">
        <v>0.77</v>
      </c>
      <c r="AF78" s="195">
        <v>16.7654</v>
      </c>
      <c r="AG78" s="193">
        <f t="shared" si="13"/>
        <v>12.909000000000001</v>
      </c>
      <c r="AH78" s="198">
        <v>0.73</v>
      </c>
      <c r="AI78" s="195">
        <v>16.7654</v>
      </c>
      <c r="AJ78" s="193">
        <f t="shared" si="14"/>
        <v>12.239000000000001</v>
      </c>
      <c r="AK78" s="193">
        <v>2.37</v>
      </c>
      <c r="AL78" s="195">
        <v>16.7654</v>
      </c>
      <c r="AM78" s="193">
        <f t="shared" si="15"/>
        <v>39.734000000000002</v>
      </c>
      <c r="AN78" s="193">
        <f t="shared" si="1"/>
        <v>10.760000000000002</v>
      </c>
      <c r="AO78" s="193">
        <f t="shared" si="16"/>
        <v>170.11700000000002</v>
      </c>
      <c r="AR78" s="15">
        <v>9.259999999999998</v>
      </c>
      <c r="AS78" s="14">
        <f t="shared" si="17"/>
        <v>1.5000000000000036</v>
      </c>
      <c r="AU78" s="78"/>
    </row>
    <row r="79" spans="1:47" ht="44.25" customHeight="1" x14ac:dyDescent="0.2">
      <c r="A79" s="75" t="s">
        <v>213</v>
      </c>
      <c r="B79" s="85" t="s">
        <v>334</v>
      </c>
      <c r="C79" s="74" t="s">
        <v>280</v>
      </c>
      <c r="D79" s="193">
        <v>5.1779999999999999</v>
      </c>
      <c r="E79" s="193">
        <v>14.9558</v>
      </c>
      <c r="F79" s="193">
        <f t="shared" si="4"/>
        <v>77.441000000000003</v>
      </c>
      <c r="G79" s="193">
        <v>5.367</v>
      </c>
      <c r="H79" s="193">
        <v>14.9558</v>
      </c>
      <c r="I79" s="193">
        <f t="shared" si="5"/>
        <v>80.268000000000001</v>
      </c>
      <c r="J79" s="196">
        <v>4.3540000000000001</v>
      </c>
      <c r="K79" s="193">
        <v>14.9558</v>
      </c>
      <c r="L79" s="193">
        <f t="shared" si="6"/>
        <v>65.117999999999995</v>
      </c>
      <c r="M79" s="197">
        <v>4.6180000000000003</v>
      </c>
      <c r="N79" s="193">
        <v>14.9558</v>
      </c>
      <c r="O79" s="193">
        <f t="shared" si="7"/>
        <v>69.066000000000003</v>
      </c>
      <c r="P79" s="197">
        <v>2.8740000000000001</v>
      </c>
      <c r="Q79" s="193">
        <v>14.9558</v>
      </c>
      <c r="R79" s="193">
        <f t="shared" si="8"/>
        <v>42.982999999999997</v>
      </c>
      <c r="S79" s="195">
        <v>3.1779999999999999</v>
      </c>
      <c r="T79" s="193">
        <v>14.9558</v>
      </c>
      <c r="U79" s="193">
        <f t="shared" si="9"/>
        <v>47.53</v>
      </c>
      <c r="V79" s="201">
        <v>1.0669999999999999</v>
      </c>
      <c r="W79" s="195">
        <v>16.7654</v>
      </c>
      <c r="X79" s="193">
        <f t="shared" si="10"/>
        <v>17.888999999999999</v>
      </c>
      <c r="Y79" s="197">
        <v>3.0939999999999999</v>
      </c>
      <c r="Z79" s="195">
        <v>16.7654</v>
      </c>
      <c r="AA79" s="193">
        <f t="shared" si="11"/>
        <v>51.872</v>
      </c>
      <c r="AB79" s="198">
        <v>4.66</v>
      </c>
      <c r="AC79" s="195">
        <v>16.7654</v>
      </c>
      <c r="AD79" s="193">
        <f t="shared" si="12"/>
        <v>78.126999999999995</v>
      </c>
      <c r="AE79" s="193">
        <v>9.5180000000000007</v>
      </c>
      <c r="AF79" s="195">
        <v>16.7654</v>
      </c>
      <c r="AG79" s="193">
        <f t="shared" si="13"/>
        <v>159.57300000000001</v>
      </c>
      <c r="AH79" s="198">
        <v>4.883</v>
      </c>
      <c r="AI79" s="195">
        <v>16.7654</v>
      </c>
      <c r="AJ79" s="193">
        <f t="shared" si="14"/>
        <v>81.864999999999995</v>
      </c>
      <c r="AK79" s="193">
        <v>5.6840000000000002</v>
      </c>
      <c r="AL79" s="195">
        <v>16.7654</v>
      </c>
      <c r="AM79" s="193">
        <f t="shared" si="15"/>
        <v>95.295000000000002</v>
      </c>
      <c r="AN79" s="193">
        <f t="shared" si="1"/>
        <v>54.475000000000001</v>
      </c>
      <c r="AO79" s="193">
        <f t="shared" si="16"/>
        <v>867.02700000000004</v>
      </c>
      <c r="AR79" s="15">
        <v>54.241000000000007</v>
      </c>
      <c r="AS79" s="14">
        <f t="shared" si="17"/>
        <v>0.23399999999999466</v>
      </c>
      <c r="AU79" s="78"/>
    </row>
    <row r="80" spans="1:47" ht="36" customHeight="1" x14ac:dyDescent="0.2">
      <c r="A80" s="75" t="s">
        <v>214</v>
      </c>
      <c r="B80" s="85" t="s">
        <v>335</v>
      </c>
      <c r="C80" s="74" t="s">
        <v>280</v>
      </c>
      <c r="D80" s="193">
        <v>8.16</v>
      </c>
      <c r="E80" s="193">
        <v>14.9558</v>
      </c>
      <c r="F80" s="193">
        <f t="shared" si="4"/>
        <v>122.039</v>
      </c>
      <c r="G80" s="193">
        <v>9.0399999999999991</v>
      </c>
      <c r="H80" s="193">
        <v>14.9558</v>
      </c>
      <c r="I80" s="193">
        <f t="shared" si="5"/>
        <v>135.19999999999999</v>
      </c>
      <c r="J80" s="196">
        <v>8.56</v>
      </c>
      <c r="K80" s="193">
        <v>14.9558</v>
      </c>
      <c r="L80" s="193">
        <f t="shared" si="6"/>
        <v>128.02199999999999</v>
      </c>
      <c r="M80" s="197">
        <v>7.72</v>
      </c>
      <c r="N80" s="193">
        <v>14.9558</v>
      </c>
      <c r="O80" s="193">
        <f t="shared" si="7"/>
        <v>115.459</v>
      </c>
      <c r="P80" s="197">
        <v>4.72</v>
      </c>
      <c r="Q80" s="193">
        <v>14.9558</v>
      </c>
      <c r="R80" s="193">
        <f t="shared" si="8"/>
        <v>70.590999999999994</v>
      </c>
      <c r="S80" s="195">
        <v>3.52</v>
      </c>
      <c r="T80" s="193">
        <v>14.9558</v>
      </c>
      <c r="U80" s="193">
        <f t="shared" si="9"/>
        <v>52.643999999999998</v>
      </c>
      <c r="V80" s="201">
        <v>0.96</v>
      </c>
      <c r="W80" s="195">
        <v>16.7654</v>
      </c>
      <c r="X80" s="193">
        <f t="shared" si="10"/>
        <v>16.094999999999999</v>
      </c>
      <c r="Y80" s="197">
        <v>0.68</v>
      </c>
      <c r="Z80" s="195">
        <v>16.7654</v>
      </c>
      <c r="AA80" s="193">
        <f t="shared" si="11"/>
        <v>11.4</v>
      </c>
      <c r="AB80" s="198">
        <v>15.12</v>
      </c>
      <c r="AC80" s="195">
        <v>16.7654</v>
      </c>
      <c r="AD80" s="193">
        <f t="shared" si="12"/>
        <v>253.49299999999999</v>
      </c>
      <c r="AE80" s="193">
        <v>14.16</v>
      </c>
      <c r="AF80" s="195">
        <v>16.7654</v>
      </c>
      <c r="AG80" s="193">
        <f t="shared" si="13"/>
        <v>237.398</v>
      </c>
      <c r="AH80" s="198">
        <v>16.64</v>
      </c>
      <c r="AI80" s="195">
        <v>16.7654</v>
      </c>
      <c r="AJ80" s="193">
        <f t="shared" si="14"/>
        <v>278.976</v>
      </c>
      <c r="AK80" s="193">
        <v>17.32</v>
      </c>
      <c r="AL80" s="195">
        <v>16.7654</v>
      </c>
      <c r="AM80" s="193">
        <f t="shared" si="15"/>
        <v>290.37700000000001</v>
      </c>
      <c r="AN80" s="193">
        <f t="shared" si="1"/>
        <v>106.6</v>
      </c>
      <c r="AO80" s="193">
        <f>F80+I80+L80+O80+R80+U80+X80+AA80+AD80+AG80+AJ80+AM80</f>
        <v>1711.694</v>
      </c>
      <c r="AR80" s="15">
        <v>61.04</v>
      </c>
      <c r="AS80" s="14">
        <f t="shared" si="17"/>
        <v>45.559999999999995</v>
      </c>
    </row>
    <row r="81" spans="1:47" ht="37.5" customHeight="1" x14ac:dyDescent="0.2">
      <c r="A81" s="75" t="s">
        <v>215</v>
      </c>
      <c r="B81" s="85" t="s">
        <v>104</v>
      </c>
      <c r="C81" s="74" t="s">
        <v>280</v>
      </c>
      <c r="D81" s="193">
        <v>6.0380000000000003</v>
      </c>
      <c r="E81" s="193">
        <v>12.7224</v>
      </c>
      <c r="F81" s="193">
        <f t="shared" si="4"/>
        <v>76.817999999999998</v>
      </c>
      <c r="G81" s="193">
        <v>4.7779999999999996</v>
      </c>
      <c r="H81" s="193">
        <v>12.7224</v>
      </c>
      <c r="I81" s="193">
        <f t="shared" si="5"/>
        <v>60.787999999999997</v>
      </c>
      <c r="J81" s="193">
        <v>6.6029999999999998</v>
      </c>
      <c r="K81" s="193">
        <v>12.7224</v>
      </c>
      <c r="L81" s="193">
        <f t="shared" si="6"/>
        <v>84.006</v>
      </c>
      <c r="M81" s="193">
        <v>3.573</v>
      </c>
      <c r="N81" s="193">
        <v>12.7224</v>
      </c>
      <c r="O81" s="193">
        <f t="shared" si="7"/>
        <v>45.457000000000001</v>
      </c>
      <c r="P81" s="197">
        <v>4.7510000000000003</v>
      </c>
      <c r="Q81" s="193">
        <v>12.7224</v>
      </c>
      <c r="R81" s="193">
        <f t="shared" si="8"/>
        <v>60.444000000000003</v>
      </c>
      <c r="S81" s="193">
        <v>3.4870000000000001</v>
      </c>
      <c r="T81" s="193">
        <v>12.7224</v>
      </c>
      <c r="U81" s="193">
        <f t="shared" si="9"/>
        <v>44.363</v>
      </c>
      <c r="V81" s="203">
        <v>1.5549999999999999</v>
      </c>
      <c r="W81" s="195">
        <v>14.261799999999999</v>
      </c>
      <c r="X81" s="193">
        <f t="shared" si="10"/>
        <v>22.177</v>
      </c>
      <c r="Y81" s="197">
        <v>2.7450000000000001</v>
      </c>
      <c r="Z81" s="195">
        <v>14.261799999999999</v>
      </c>
      <c r="AA81" s="193">
        <f t="shared" si="11"/>
        <v>39.149000000000001</v>
      </c>
      <c r="AB81" s="193">
        <v>1.8420000000000001</v>
      </c>
      <c r="AC81" s="195">
        <v>14.261799999999999</v>
      </c>
      <c r="AD81" s="193">
        <f t="shared" si="12"/>
        <v>26.27</v>
      </c>
      <c r="AE81" s="193">
        <v>2.391</v>
      </c>
      <c r="AF81" s="195">
        <v>14.261799999999999</v>
      </c>
      <c r="AG81" s="193">
        <f t="shared" si="13"/>
        <v>34.1</v>
      </c>
      <c r="AH81" s="193">
        <v>3.258</v>
      </c>
      <c r="AI81" s="195">
        <v>14.261799999999999</v>
      </c>
      <c r="AJ81" s="193">
        <f t="shared" si="14"/>
        <v>46.465000000000003</v>
      </c>
      <c r="AK81" s="193">
        <v>4.8650000000000002</v>
      </c>
      <c r="AL81" s="195">
        <v>14.261799999999999</v>
      </c>
      <c r="AM81" s="193">
        <f t="shared" si="15"/>
        <v>69.384</v>
      </c>
      <c r="AN81" s="193">
        <f t="shared" si="1"/>
        <v>45.885999999999996</v>
      </c>
      <c r="AO81" s="193">
        <f t="shared" si="16"/>
        <v>609.42100000000005</v>
      </c>
      <c r="AR81" s="15">
        <v>45.885999999999996</v>
      </c>
      <c r="AS81" s="14">
        <f t="shared" si="17"/>
        <v>0</v>
      </c>
      <c r="AU81" s="17"/>
    </row>
    <row r="82" spans="1:47" ht="36" customHeight="1" x14ac:dyDescent="0.2">
      <c r="A82" s="75" t="s">
        <v>216</v>
      </c>
      <c r="B82" s="85" t="s">
        <v>105</v>
      </c>
      <c r="C82" s="74" t="s">
        <v>280</v>
      </c>
      <c r="D82" s="193">
        <v>2.4300000000000002</v>
      </c>
      <c r="E82" s="193">
        <v>12.7224</v>
      </c>
      <c r="F82" s="193">
        <f t="shared" si="4"/>
        <v>30.914999999999999</v>
      </c>
      <c r="G82" s="193">
        <v>2.8119999999999998</v>
      </c>
      <c r="H82" s="193">
        <v>12.7224</v>
      </c>
      <c r="I82" s="193">
        <f t="shared" si="5"/>
        <v>35.774999999999999</v>
      </c>
      <c r="J82" s="193">
        <v>2.1819999999999999</v>
      </c>
      <c r="K82" s="193">
        <v>12.7224</v>
      </c>
      <c r="L82" s="193">
        <f t="shared" si="6"/>
        <v>27.76</v>
      </c>
      <c r="M82" s="193">
        <v>1.786</v>
      </c>
      <c r="N82" s="193">
        <v>12.7224</v>
      </c>
      <c r="O82" s="193">
        <f t="shared" si="7"/>
        <v>22.722000000000001</v>
      </c>
      <c r="P82" s="197">
        <v>2.367</v>
      </c>
      <c r="Q82" s="193">
        <v>12.7224</v>
      </c>
      <c r="R82" s="193">
        <f t="shared" si="8"/>
        <v>30.114000000000001</v>
      </c>
      <c r="S82" s="193">
        <v>2.9990000000000001</v>
      </c>
      <c r="T82" s="193">
        <v>12.7224</v>
      </c>
      <c r="U82" s="193">
        <f t="shared" si="9"/>
        <v>38.154000000000003</v>
      </c>
      <c r="V82" s="203">
        <v>3.9249999999999998</v>
      </c>
      <c r="W82" s="195">
        <v>14.261799999999999</v>
      </c>
      <c r="X82" s="193">
        <f t="shared" si="10"/>
        <v>55.978000000000002</v>
      </c>
      <c r="Y82" s="197">
        <v>3.863</v>
      </c>
      <c r="Z82" s="195">
        <v>14.261799999999999</v>
      </c>
      <c r="AA82" s="193">
        <f t="shared" si="11"/>
        <v>55.093000000000004</v>
      </c>
      <c r="AB82" s="193">
        <v>3.8</v>
      </c>
      <c r="AC82" s="195">
        <v>14.261799999999999</v>
      </c>
      <c r="AD82" s="193">
        <f t="shared" si="12"/>
        <v>54.195</v>
      </c>
      <c r="AE82" s="193">
        <v>3.7069999999999999</v>
      </c>
      <c r="AF82" s="195">
        <v>14.261799999999999</v>
      </c>
      <c r="AG82" s="193">
        <f t="shared" si="13"/>
        <v>52.868000000000002</v>
      </c>
      <c r="AH82" s="193">
        <v>2.948</v>
      </c>
      <c r="AI82" s="195">
        <v>14.261799999999999</v>
      </c>
      <c r="AJ82" s="193">
        <f t="shared" si="14"/>
        <v>42.043999999999997</v>
      </c>
      <c r="AK82" s="193">
        <v>2.42</v>
      </c>
      <c r="AL82" s="195">
        <v>14.261799999999999</v>
      </c>
      <c r="AM82" s="193">
        <f t="shared" si="15"/>
        <v>34.514000000000003</v>
      </c>
      <c r="AN82" s="193">
        <f t="shared" ref="AN82:AN102" si="18">D82+G82+J82+M82+P82+S82+V82+Y82+AB82+AE82+AH82+AK82</f>
        <v>35.238999999999997</v>
      </c>
      <c r="AO82" s="193">
        <f t="shared" si="16"/>
        <v>480.13200000000001</v>
      </c>
      <c r="AR82" s="15">
        <v>35.238999999999997</v>
      </c>
      <c r="AS82" s="14">
        <f t="shared" si="17"/>
        <v>0</v>
      </c>
      <c r="AU82" s="78"/>
    </row>
    <row r="83" spans="1:47" ht="33" customHeight="1" x14ac:dyDescent="0.2">
      <c r="A83" s="75" t="s">
        <v>217</v>
      </c>
      <c r="B83" s="85" t="s">
        <v>54</v>
      </c>
      <c r="C83" s="74" t="s">
        <v>280</v>
      </c>
      <c r="D83" s="193">
        <v>0.96299999999999997</v>
      </c>
      <c r="E83" s="193">
        <v>13.394842068726136</v>
      </c>
      <c r="F83" s="193">
        <f t="shared" si="4"/>
        <v>12.898999999999999</v>
      </c>
      <c r="G83" s="193">
        <v>1.9390000000000001</v>
      </c>
      <c r="H83" s="193">
        <v>13.394842068726136</v>
      </c>
      <c r="I83" s="193">
        <f t="shared" si="5"/>
        <v>25.972999999999999</v>
      </c>
      <c r="J83" s="193">
        <v>1.0569999999999999</v>
      </c>
      <c r="K83" s="193">
        <v>13.394842068726136</v>
      </c>
      <c r="L83" s="193">
        <f t="shared" si="6"/>
        <v>14.157999999999999</v>
      </c>
      <c r="M83" s="193">
        <v>1.0389999999999999</v>
      </c>
      <c r="N83" s="193">
        <v>13.394842068726136</v>
      </c>
      <c r="O83" s="193">
        <f t="shared" si="7"/>
        <v>13.917</v>
      </c>
      <c r="P83" s="193">
        <v>1.728</v>
      </c>
      <c r="Q83" s="193">
        <v>13.394842068726136</v>
      </c>
      <c r="R83" s="193">
        <f t="shared" si="8"/>
        <v>23.146000000000001</v>
      </c>
      <c r="S83" s="193">
        <v>0.73099999999999998</v>
      </c>
      <c r="T83" s="193">
        <v>13.394842068726136</v>
      </c>
      <c r="U83" s="193">
        <f t="shared" si="9"/>
        <v>9.7919999999999998</v>
      </c>
      <c r="V83" s="195">
        <v>0.92</v>
      </c>
      <c r="W83" s="195">
        <v>14.868274696286012</v>
      </c>
      <c r="X83" s="193">
        <f t="shared" si="10"/>
        <v>13.679</v>
      </c>
      <c r="Y83" s="193">
        <v>2.1459999999999999</v>
      </c>
      <c r="Z83" s="195">
        <v>14.868274696286012</v>
      </c>
      <c r="AA83" s="193">
        <f t="shared" si="11"/>
        <v>31.907</v>
      </c>
      <c r="AB83" s="193">
        <v>1.5149999999999999</v>
      </c>
      <c r="AC83" s="195">
        <v>14.868274696286012</v>
      </c>
      <c r="AD83" s="193">
        <f t="shared" si="12"/>
        <v>22.524999999999999</v>
      </c>
      <c r="AE83" s="193">
        <v>1.8240000000000001</v>
      </c>
      <c r="AF83" s="195">
        <v>14.868274696286012</v>
      </c>
      <c r="AG83" s="193">
        <f t="shared" si="13"/>
        <v>27.12</v>
      </c>
      <c r="AH83" s="193">
        <v>1.9670000000000001</v>
      </c>
      <c r="AI83" s="195">
        <v>14.868274696286012</v>
      </c>
      <c r="AJ83" s="193">
        <f t="shared" si="14"/>
        <v>29.245999999999999</v>
      </c>
      <c r="AK83" s="193">
        <v>1.3280000000000001</v>
      </c>
      <c r="AL83" s="195">
        <v>14.868274696286012</v>
      </c>
      <c r="AM83" s="193">
        <f t="shared" si="15"/>
        <v>19.745000000000001</v>
      </c>
      <c r="AN83" s="193">
        <f t="shared" si="18"/>
        <v>17.157</v>
      </c>
      <c r="AO83" s="193">
        <f t="shared" si="16"/>
        <v>244.10700000000003</v>
      </c>
      <c r="AR83" s="15">
        <v>10.427999999999999</v>
      </c>
      <c r="AS83" s="14">
        <f>AN83-AR83</f>
        <v>6.729000000000001</v>
      </c>
    </row>
    <row r="84" spans="1:47" ht="33.75" customHeight="1" x14ac:dyDescent="0.2">
      <c r="A84" s="75" t="s">
        <v>218</v>
      </c>
      <c r="B84" s="85" t="s">
        <v>52</v>
      </c>
      <c r="C84" s="74" t="s">
        <v>280</v>
      </c>
      <c r="D84" s="193">
        <v>2.101</v>
      </c>
      <c r="E84" s="193">
        <v>14.9557</v>
      </c>
      <c r="F84" s="193">
        <f>ROUND((D84*E84),3)</f>
        <v>31.422000000000001</v>
      </c>
      <c r="G84" s="193">
        <v>2.0009999999999999</v>
      </c>
      <c r="H84" s="193">
        <v>14.9557</v>
      </c>
      <c r="I84" s="193">
        <f>ROUND((G84*H84),3)</f>
        <v>29.925999999999998</v>
      </c>
      <c r="J84" s="193">
        <v>2.181</v>
      </c>
      <c r="K84" s="193">
        <v>14.9557</v>
      </c>
      <c r="L84" s="193">
        <f>ROUND((J84*K84),3)</f>
        <v>32.618000000000002</v>
      </c>
      <c r="M84" s="193">
        <v>2.0009999999999999</v>
      </c>
      <c r="N84" s="193">
        <v>14.9557</v>
      </c>
      <c r="O84" s="193">
        <f>ROUND((M84*N84),3)</f>
        <v>29.925999999999998</v>
      </c>
      <c r="P84" s="193">
        <v>2.101</v>
      </c>
      <c r="Q84" s="193">
        <v>14.9557</v>
      </c>
      <c r="R84" s="193">
        <f>ROUND((P84*Q84),3)</f>
        <v>31.422000000000001</v>
      </c>
      <c r="S84" s="193">
        <v>2.4009999999999998</v>
      </c>
      <c r="T84" s="193">
        <v>14.9557</v>
      </c>
      <c r="U84" s="193">
        <f>ROUND((S84*T84),3)</f>
        <v>35.908999999999999</v>
      </c>
      <c r="V84" s="193">
        <v>3.4</v>
      </c>
      <c r="W84" s="195">
        <v>16.7654</v>
      </c>
      <c r="X84" s="193">
        <f>ROUND((V84*W84),3)</f>
        <v>57.002000000000002</v>
      </c>
      <c r="Y84" s="193">
        <v>3.601</v>
      </c>
      <c r="Z84" s="195">
        <v>16.7654</v>
      </c>
      <c r="AA84" s="193">
        <f>ROUND((Y84*Z84),3)</f>
        <v>60.372</v>
      </c>
      <c r="AB84" s="193">
        <v>2.4009999999999998</v>
      </c>
      <c r="AC84" s="195">
        <v>16.7654</v>
      </c>
      <c r="AD84" s="193">
        <f>ROUND((AB84*AC84),3)</f>
        <v>40.253999999999998</v>
      </c>
      <c r="AE84" s="193">
        <v>2.0009999999999999</v>
      </c>
      <c r="AF84" s="195">
        <v>16.7654</v>
      </c>
      <c r="AG84" s="193">
        <f>ROUND((AE84*AF84),3)</f>
        <v>33.548000000000002</v>
      </c>
      <c r="AH84" s="193">
        <v>2.0009999999999999</v>
      </c>
      <c r="AI84" s="195">
        <v>16.7654</v>
      </c>
      <c r="AJ84" s="193">
        <f>ROUND((AH84*AI84),3)</f>
        <v>33.548000000000002</v>
      </c>
      <c r="AK84" s="193">
        <v>2.4009999999999998</v>
      </c>
      <c r="AL84" s="195">
        <v>16.7654</v>
      </c>
      <c r="AM84" s="193">
        <f>ROUND((AK84*AL84),3)</f>
        <v>40.253999999999998</v>
      </c>
      <c r="AN84" s="193">
        <f t="shared" si="18"/>
        <v>28.591000000000001</v>
      </c>
      <c r="AO84" s="193">
        <f t="shared" ref="AO84" si="19">F84+I84+L84+O84+R84+U84+X84+AA84+AD84+AG84+AJ84+AM84</f>
        <v>456.20100000000008</v>
      </c>
      <c r="AR84" s="15">
        <v>27.883999999999997</v>
      </c>
      <c r="AS84" s="14">
        <f>AN84-AR84</f>
        <v>0.70700000000000429</v>
      </c>
      <c r="AU84" s="78"/>
    </row>
    <row r="85" spans="1:47" ht="44.25" customHeight="1" x14ac:dyDescent="0.2">
      <c r="A85" s="75" t="s">
        <v>219</v>
      </c>
      <c r="B85" s="73" t="s">
        <v>274</v>
      </c>
      <c r="C85" s="74" t="s">
        <v>280</v>
      </c>
      <c r="D85" s="193">
        <v>0.75</v>
      </c>
      <c r="E85" s="193">
        <v>12.7224</v>
      </c>
      <c r="F85" s="193">
        <f>ROUND((D85*E85),3)</f>
        <v>9.5419999999999998</v>
      </c>
      <c r="G85" s="193">
        <v>0.75</v>
      </c>
      <c r="H85" s="193">
        <v>12.7224</v>
      </c>
      <c r="I85" s="193">
        <f t="shared" ref="I85" si="20">ROUND((G85*H85),3)</f>
        <v>9.5419999999999998</v>
      </c>
      <c r="J85" s="193">
        <v>0.75</v>
      </c>
      <c r="K85" s="193">
        <v>12.7224</v>
      </c>
      <c r="L85" s="193">
        <f t="shared" ref="L85" si="21">ROUND((J85*K85),3)</f>
        <v>9.5419999999999998</v>
      </c>
      <c r="M85" s="193">
        <v>0.75</v>
      </c>
      <c r="N85" s="193">
        <v>12.7224</v>
      </c>
      <c r="O85" s="193">
        <f t="shared" ref="O85" si="22">ROUND((M85*N85),3)</f>
        <v>9.5419999999999998</v>
      </c>
      <c r="P85" s="193">
        <v>0.75</v>
      </c>
      <c r="Q85" s="193">
        <v>12.7224</v>
      </c>
      <c r="R85" s="193">
        <f t="shared" ref="R85" si="23">ROUND((P85*Q85),3)</f>
        <v>9.5419999999999998</v>
      </c>
      <c r="S85" s="193">
        <v>0.75</v>
      </c>
      <c r="T85" s="193">
        <v>12.7224</v>
      </c>
      <c r="U85" s="193">
        <f t="shared" ref="U85" si="24">ROUND((S85*T85),3)</f>
        <v>9.5419999999999998</v>
      </c>
      <c r="V85" s="193">
        <v>0.75</v>
      </c>
      <c r="W85" s="193">
        <v>14.261799999999999</v>
      </c>
      <c r="X85" s="193">
        <f t="shared" ref="X85" si="25">ROUND((V85*W85),3)</f>
        <v>10.696</v>
      </c>
      <c r="Y85" s="193">
        <v>0.75</v>
      </c>
      <c r="Z85" s="193">
        <v>14.261799999999999</v>
      </c>
      <c r="AA85" s="193">
        <f t="shared" ref="AA85" si="26">ROUND((Y85*Z85),3)</f>
        <v>10.696</v>
      </c>
      <c r="AB85" s="193">
        <v>0.75</v>
      </c>
      <c r="AC85" s="193">
        <v>14.261799999999999</v>
      </c>
      <c r="AD85" s="204">
        <f>ROUND((AB85*AC85),3)</f>
        <v>10.696</v>
      </c>
      <c r="AE85" s="193">
        <v>0.75</v>
      </c>
      <c r="AF85" s="193">
        <v>14.261799999999999</v>
      </c>
      <c r="AG85" s="193">
        <f>ROUND((AE85*AF85),3)</f>
        <v>10.696</v>
      </c>
      <c r="AH85" s="193">
        <v>0.75</v>
      </c>
      <c r="AI85" s="193">
        <v>14.261799999999999</v>
      </c>
      <c r="AJ85" s="193">
        <f>ROUND((AH85*AI85),3)</f>
        <v>10.696</v>
      </c>
      <c r="AK85" s="193">
        <v>0.75</v>
      </c>
      <c r="AL85" s="193">
        <v>14.261799999999999</v>
      </c>
      <c r="AM85" s="193">
        <f>ROUND((AK85*AL85),3)</f>
        <v>10.696</v>
      </c>
      <c r="AN85" s="193">
        <f t="shared" si="18"/>
        <v>9</v>
      </c>
      <c r="AO85" s="193">
        <f>F85+I85+L85+O85+R85+U85+X85+AA85+AD85+AG85+AJ85+AM85</f>
        <v>121.428</v>
      </c>
      <c r="AS85" s="14"/>
    </row>
    <row r="86" spans="1:47" s="18" customFormat="1" ht="99.75" customHeight="1" x14ac:dyDescent="0.2">
      <c r="A86" s="75" t="s">
        <v>149</v>
      </c>
      <c r="B86" s="73" t="s">
        <v>57</v>
      </c>
      <c r="C86" s="74"/>
      <c r="D86" s="193">
        <f>SUM(D87:D92)</f>
        <v>5.9260000000000002</v>
      </c>
      <c r="E86" s="193">
        <f t="shared" ref="E86" si="27">SUM(E87:E92)</f>
        <v>89.734200000000016</v>
      </c>
      <c r="F86" s="193">
        <f>SUM(F87:F92)</f>
        <v>88.628</v>
      </c>
      <c r="G86" s="193">
        <f t="shared" ref="G86:AM86" si="28">SUM(G87:G92)</f>
        <v>6.3360000000000003</v>
      </c>
      <c r="H86" s="193">
        <f t="shared" si="28"/>
        <v>89.734200000000016</v>
      </c>
      <c r="I86" s="193">
        <f t="shared" si="28"/>
        <v>94.76</v>
      </c>
      <c r="J86" s="193">
        <f t="shared" si="28"/>
        <v>6.5979999999999999</v>
      </c>
      <c r="K86" s="193">
        <f t="shared" si="28"/>
        <v>89.734200000000016</v>
      </c>
      <c r="L86" s="193">
        <f t="shared" si="28"/>
        <v>98.677000000000007</v>
      </c>
      <c r="M86" s="193">
        <f t="shared" si="28"/>
        <v>6.9320000000000004</v>
      </c>
      <c r="N86" s="193">
        <f t="shared" si="28"/>
        <v>89.734200000000016</v>
      </c>
      <c r="O86" s="193">
        <f t="shared" si="28"/>
        <v>103.673</v>
      </c>
      <c r="P86" s="193">
        <f t="shared" si="28"/>
        <v>7.4619999999999989</v>
      </c>
      <c r="Q86" s="193">
        <f t="shared" si="28"/>
        <v>89.734200000000016</v>
      </c>
      <c r="R86" s="193">
        <f t="shared" si="28"/>
        <v>111.599</v>
      </c>
      <c r="S86" s="193">
        <f t="shared" si="28"/>
        <v>7.1649999999999991</v>
      </c>
      <c r="T86" s="193">
        <f t="shared" si="28"/>
        <v>89.734200000000016</v>
      </c>
      <c r="U86" s="193">
        <f t="shared" si="28"/>
        <v>107.15799999999999</v>
      </c>
      <c r="V86" s="193">
        <f t="shared" si="28"/>
        <v>6.0650000000000004</v>
      </c>
      <c r="W86" s="193">
        <f t="shared" si="28"/>
        <v>100.5924</v>
      </c>
      <c r="X86" s="193">
        <f t="shared" si="28"/>
        <v>101.68300000000001</v>
      </c>
      <c r="Y86" s="193">
        <f t="shared" si="28"/>
        <v>6.9740000000000002</v>
      </c>
      <c r="Z86" s="193">
        <f t="shared" si="28"/>
        <v>100.5924</v>
      </c>
      <c r="AA86" s="193">
        <f t="shared" si="28"/>
        <v>116.922</v>
      </c>
      <c r="AB86" s="193">
        <f t="shared" si="28"/>
        <v>7.1290000000000004</v>
      </c>
      <c r="AC86" s="193">
        <f t="shared" si="28"/>
        <v>100.5924</v>
      </c>
      <c r="AD86" s="193">
        <f t="shared" si="28"/>
        <v>119.52</v>
      </c>
      <c r="AE86" s="193">
        <f t="shared" si="28"/>
        <v>7.9509999999999987</v>
      </c>
      <c r="AF86" s="193">
        <f t="shared" si="28"/>
        <v>100.5924</v>
      </c>
      <c r="AG86" s="193">
        <f t="shared" si="28"/>
        <v>133.30200000000002</v>
      </c>
      <c r="AH86" s="193">
        <f t="shared" si="28"/>
        <v>6.0069999999999997</v>
      </c>
      <c r="AI86" s="193">
        <f t="shared" si="28"/>
        <v>100.5924</v>
      </c>
      <c r="AJ86" s="193">
        <f t="shared" si="28"/>
        <v>100.709</v>
      </c>
      <c r="AK86" s="193">
        <f t="shared" si="28"/>
        <v>7.402000000000001</v>
      </c>
      <c r="AL86" s="193">
        <f t="shared" si="28"/>
        <v>100.5924</v>
      </c>
      <c r="AM86" s="193">
        <f t="shared" si="28"/>
        <v>124.09800000000001</v>
      </c>
      <c r="AN86" s="193">
        <f t="shared" si="18"/>
        <v>81.947000000000003</v>
      </c>
      <c r="AO86" s="193">
        <f>AM86+AJ86+AG86+AD86+AA86+X86+U86+R86+O86+L86+I86+F86</f>
        <v>1300.729</v>
      </c>
      <c r="AR86" s="15">
        <v>53.012000000000008</v>
      </c>
      <c r="AS86" s="14"/>
    </row>
    <row r="87" spans="1:47" s="18" customFormat="1" ht="54" customHeight="1" x14ac:dyDescent="0.2">
      <c r="A87" s="75" t="s">
        <v>150</v>
      </c>
      <c r="B87" s="73" t="s">
        <v>107</v>
      </c>
      <c r="C87" s="74" t="s">
        <v>280</v>
      </c>
      <c r="D87" s="193">
        <v>0.752</v>
      </c>
      <c r="E87" s="195">
        <v>14.9557</v>
      </c>
      <c r="F87" s="193">
        <f t="shared" ref="F87:F95" si="29">ROUND((D87*E87),3)</f>
        <v>11.247</v>
      </c>
      <c r="G87" s="193">
        <v>0.73299999999999998</v>
      </c>
      <c r="H87" s="195">
        <v>14.9557</v>
      </c>
      <c r="I87" s="193">
        <f t="shared" ref="I87:I95" si="30">ROUND((G87*H87),3)</f>
        <v>10.962999999999999</v>
      </c>
      <c r="J87" s="193">
        <v>0.629</v>
      </c>
      <c r="K87" s="195">
        <v>14.9557</v>
      </c>
      <c r="L87" s="193">
        <f t="shared" ref="L87:L95" si="31">ROUND((J87*K87),3)</f>
        <v>9.407</v>
      </c>
      <c r="M87" s="193">
        <v>0.68600000000000005</v>
      </c>
      <c r="N87" s="195">
        <v>14.9557</v>
      </c>
      <c r="O87" s="193">
        <f t="shared" ref="O87:O95" si="32">ROUND((M87*N87),3)</f>
        <v>10.26</v>
      </c>
      <c r="P87" s="193">
        <v>0.69499999999999995</v>
      </c>
      <c r="Q87" s="195">
        <v>14.9557</v>
      </c>
      <c r="R87" s="193">
        <f t="shared" ref="R87:R95" si="33">ROUND((P87*Q87),3)</f>
        <v>10.394</v>
      </c>
      <c r="S87" s="193">
        <v>0.46300000000000002</v>
      </c>
      <c r="T87" s="195">
        <v>14.9557</v>
      </c>
      <c r="U87" s="193">
        <f t="shared" ref="U87:U95" si="34">ROUND((S87*T87),3)</f>
        <v>6.9240000000000004</v>
      </c>
      <c r="V87" s="193">
        <v>0.29099999999999998</v>
      </c>
      <c r="W87" s="195">
        <v>16.7654</v>
      </c>
      <c r="X87" s="193">
        <f t="shared" ref="X87:X95" si="35">ROUND((V87*W87),3)</f>
        <v>4.8789999999999996</v>
      </c>
      <c r="Y87" s="193">
        <v>0.50700000000000001</v>
      </c>
      <c r="Z87" s="195">
        <v>16.7654</v>
      </c>
      <c r="AA87" s="193">
        <f t="shared" ref="AA87:AA95" si="36">ROUND((Y87*Z87),3)</f>
        <v>8.5</v>
      </c>
      <c r="AB87" s="193">
        <v>0.61</v>
      </c>
      <c r="AC87" s="195">
        <v>16.7654</v>
      </c>
      <c r="AD87" s="193">
        <f t="shared" ref="AD87:AD95" si="37">ROUND((AB87*AC87),3)</f>
        <v>10.227</v>
      </c>
      <c r="AE87" s="193">
        <v>0.51600000000000001</v>
      </c>
      <c r="AF87" s="195">
        <v>16.7654</v>
      </c>
      <c r="AG87" s="193">
        <f t="shared" ref="AG87:AG95" si="38">ROUND((AE87*AF87),3)</f>
        <v>8.6509999999999998</v>
      </c>
      <c r="AH87" s="193">
        <v>0.56100000000000005</v>
      </c>
      <c r="AI87" s="195">
        <v>16.7654</v>
      </c>
      <c r="AJ87" s="193">
        <f t="shared" ref="AJ87:AJ95" si="39">ROUND((AH87*AI87),3)</f>
        <v>9.4049999999999994</v>
      </c>
      <c r="AK87" s="193">
        <v>0.755</v>
      </c>
      <c r="AL87" s="195">
        <v>16.7654</v>
      </c>
      <c r="AM87" s="193">
        <f t="shared" ref="AM87:AM95" si="40">ROUND((AK87*AL87),3)</f>
        <v>12.657999999999999</v>
      </c>
      <c r="AN87" s="193">
        <f t="shared" si="18"/>
        <v>7.1979999999999995</v>
      </c>
      <c r="AO87" s="193">
        <f t="shared" ref="AO87:AO95" si="41">F87+I87+L87+O87+R87+U87+X87+AA87+AD87+AG87+AJ87+AM87</f>
        <v>113.515</v>
      </c>
      <c r="AP87" s="15"/>
      <c r="AR87" s="15">
        <v>7.1</v>
      </c>
      <c r="AS87" s="14">
        <f t="shared" ref="AS87:AS95" si="42">AN87-AR87</f>
        <v>9.7999999999999865E-2</v>
      </c>
    </row>
    <row r="88" spans="1:47" s="18" customFormat="1" ht="81" customHeight="1" x14ac:dyDescent="0.2">
      <c r="A88" s="75" t="s">
        <v>151</v>
      </c>
      <c r="B88" s="73" t="s">
        <v>275</v>
      </c>
      <c r="C88" s="74" t="s">
        <v>280</v>
      </c>
      <c r="D88" s="193">
        <v>1.2649999999999999</v>
      </c>
      <c r="E88" s="195">
        <v>14.9557</v>
      </c>
      <c r="F88" s="193">
        <f t="shared" si="29"/>
        <v>18.919</v>
      </c>
      <c r="G88" s="193">
        <v>1.2250000000000001</v>
      </c>
      <c r="H88" s="195">
        <v>14.9557</v>
      </c>
      <c r="I88" s="193">
        <f t="shared" si="30"/>
        <v>18.321000000000002</v>
      </c>
      <c r="J88" s="193">
        <v>1.865</v>
      </c>
      <c r="K88" s="195">
        <v>14.9557</v>
      </c>
      <c r="L88" s="193">
        <f t="shared" si="31"/>
        <v>27.891999999999999</v>
      </c>
      <c r="M88" s="193">
        <v>1.865</v>
      </c>
      <c r="N88" s="195">
        <v>14.9557</v>
      </c>
      <c r="O88" s="193">
        <f t="shared" si="32"/>
        <v>27.891999999999999</v>
      </c>
      <c r="P88" s="193">
        <v>1.9870000000000001</v>
      </c>
      <c r="Q88" s="195">
        <v>14.9557</v>
      </c>
      <c r="R88" s="193">
        <f t="shared" si="33"/>
        <v>29.716999999999999</v>
      </c>
      <c r="S88" s="193">
        <v>1.9850000000000001</v>
      </c>
      <c r="T88" s="195">
        <v>14.9557</v>
      </c>
      <c r="U88" s="193">
        <f t="shared" si="34"/>
        <v>29.687000000000001</v>
      </c>
      <c r="V88" s="193">
        <v>0.88100000000000001</v>
      </c>
      <c r="W88" s="195">
        <v>16.7654</v>
      </c>
      <c r="X88" s="193">
        <f t="shared" si="35"/>
        <v>14.77</v>
      </c>
      <c r="Y88" s="193">
        <v>1.081</v>
      </c>
      <c r="Z88" s="195">
        <v>16.7654</v>
      </c>
      <c r="AA88" s="193">
        <f t="shared" si="36"/>
        <v>18.123000000000001</v>
      </c>
      <c r="AB88" s="193">
        <v>1.119</v>
      </c>
      <c r="AC88" s="195">
        <v>16.7654</v>
      </c>
      <c r="AD88" s="193">
        <f t="shared" si="37"/>
        <v>18.760000000000002</v>
      </c>
      <c r="AE88" s="193">
        <v>2.0019999999999998</v>
      </c>
      <c r="AF88" s="195">
        <v>16.7654</v>
      </c>
      <c r="AG88" s="193">
        <f t="shared" si="38"/>
        <v>33.564</v>
      </c>
      <c r="AH88" s="193">
        <v>1.0409999999999999</v>
      </c>
      <c r="AI88" s="195">
        <v>16.7654</v>
      </c>
      <c r="AJ88" s="193">
        <f t="shared" si="39"/>
        <v>17.452999999999999</v>
      </c>
      <c r="AK88" s="193">
        <v>1.9410000000000001</v>
      </c>
      <c r="AL88" s="195">
        <v>16.7654</v>
      </c>
      <c r="AM88" s="193">
        <f t="shared" si="40"/>
        <v>32.542000000000002</v>
      </c>
      <c r="AN88" s="193">
        <f t="shared" si="18"/>
        <v>18.256999999999998</v>
      </c>
      <c r="AO88" s="193">
        <f t="shared" si="41"/>
        <v>287.64</v>
      </c>
      <c r="AR88" s="15">
        <v>17.05</v>
      </c>
      <c r="AS88" s="14">
        <f t="shared" si="42"/>
        <v>1.2069999999999972</v>
      </c>
    </row>
    <row r="89" spans="1:47" s="18" customFormat="1" ht="58.5" customHeight="1" x14ac:dyDescent="0.2">
      <c r="A89" s="75" t="s">
        <v>152</v>
      </c>
      <c r="B89" s="73" t="s">
        <v>97</v>
      </c>
      <c r="C89" s="74" t="s">
        <v>280</v>
      </c>
      <c r="D89" s="193">
        <v>0.51600000000000001</v>
      </c>
      <c r="E89" s="195">
        <v>14.9557</v>
      </c>
      <c r="F89" s="193">
        <f t="shared" si="29"/>
        <v>7.7169999999999996</v>
      </c>
      <c r="G89" s="193">
        <v>0.63700000000000001</v>
      </c>
      <c r="H89" s="195">
        <v>14.9557</v>
      </c>
      <c r="I89" s="193">
        <f t="shared" si="30"/>
        <v>9.5269999999999992</v>
      </c>
      <c r="J89" s="193">
        <v>0.44400000000000001</v>
      </c>
      <c r="K89" s="195">
        <v>14.9557</v>
      </c>
      <c r="L89" s="193">
        <f t="shared" si="31"/>
        <v>6.64</v>
      </c>
      <c r="M89" s="193">
        <v>0.61399999999999999</v>
      </c>
      <c r="N89" s="195">
        <v>14.9557</v>
      </c>
      <c r="O89" s="193">
        <f t="shared" si="32"/>
        <v>9.1829999999999998</v>
      </c>
      <c r="P89" s="193">
        <v>0.70299999999999996</v>
      </c>
      <c r="Q89" s="195">
        <v>14.9557</v>
      </c>
      <c r="R89" s="193">
        <f t="shared" si="33"/>
        <v>10.513999999999999</v>
      </c>
      <c r="S89" s="193">
        <v>0.36899999999999999</v>
      </c>
      <c r="T89" s="195">
        <v>14.9557</v>
      </c>
      <c r="U89" s="193">
        <f t="shared" si="34"/>
        <v>5.5190000000000001</v>
      </c>
      <c r="V89" s="193">
        <v>0.26200000000000001</v>
      </c>
      <c r="W89" s="195">
        <v>16.7654</v>
      </c>
      <c r="X89" s="193">
        <f t="shared" si="35"/>
        <v>4.3929999999999998</v>
      </c>
      <c r="Y89" s="193">
        <v>0.28100000000000003</v>
      </c>
      <c r="Z89" s="195">
        <v>16.7654</v>
      </c>
      <c r="AA89" s="193">
        <f t="shared" si="36"/>
        <v>4.7110000000000003</v>
      </c>
      <c r="AB89" s="193">
        <v>0.995</v>
      </c>
      <c r="AC89" s="195">
        <v>16.7654</v>
      </c>
      <c r="AD89" s="193">
        <f t="shared" si="37"/>
        <v>16.681999999999999</v>
      </c>
      <c r="AE89" s="193">
        <v>1.573</v>
      </c>
      <c r="AF89" s="195">
        <v>16.7654</v>
      </c>
      <c r="AG89" s="193">
        <f t="shared" si="38"/>
        <v>26.372</v>
      </c>
      <c r="AH89" s="193">
        <v>0.61199999999999999</v>
      </c>
      <c r="AI89" s="195">
        <v>16.7654</v>
      </c>
      <c r="AJ89" s="193">
        <f t="shared" si="39"/>
        <v>10.26</v>
      </c>
      <c r="AK89" s="193">
        <v>1.7090000000000001</v>
      </c>
      <c r="AL89" s="195">
        <v>16.7654</v>
      </c>
      <c r="AM89" s="193">
        <f t="shared" si="40"/>
        <v>28.652000000000001</v>
      </c>
      <c r="AN89" s="193">
        <f t="shared" si="18"/>
        <v>8.7149999999999999</v>
      </c>
      <c r="AO89" s="193">
        <f t="shared" si="41"/>
        <v>140.17000000000002</v>
      </c>
      <c r="AP89" s="15"/>
      <c r="AR89" s="15">
        <v>5.96</v>
      </c>
      <c r="AS89" s="14">
        <f t="shared" si="42"/>
        <v>2.7549999999999999</v>
      </c>
    </row>
    <row r="90" spans="1:47" s="18" customFormat="1" ht="71.25" customHeight="1" x14ac:dyDescent="0.2">
      <c r="A90" s="75" t="s">
        <v>221</v>
      </c>
      <c r="B90" s="73" t="s">
        <v>96</v>
      </c>
      <c r="C90" s="74" t="s">
        <v>280</v>
      </c>
      <c r="D90" s="193">
        <v>0.3</v>
      </c>
      <c r="E90" s="195">
        <v>14.9557</v>
      </c>
      <c r="F90" s="193">
        <f t="shared" si="29"/>
        <v>4.4870000000000001</v>
      </c>
      <c r="G90" s="193">
        <v>0.29599999999999999</v>
      </c>
      <c r="H90" s="195">
        <v>14.9557</v>
      </c>
      <c r="I90" s="193">
        <f t="shared" si="30"/>
        <v>4.4269999999999996</v>
      </c>
      <c r="J90" s="193">
        <v>0.26800000000000002</v>
      </c>
      <c r="K90" s="195">
        <v>14.9557</v>
      </c>
      <c r="L90" s="193">
        <f t="shared" si="31"/>
        <v>4.008</v>
      </c>
      <c r="M90" s="193">
        <v>0.33</v>
      </c>
      <c r="N90" s="195">
        <v>14.9557</v>
      </c>
      <c r="O90" s="193">
        <f t="shared" si="32"/>
        <v>4.9349999999999996</v>
      </c>
      <c r="P90" s="193">
        <v>0.316</v>
      </c>
      <c r="Q90" s="195">
        <v>14.9557</v>
      </c>
      <c r="R90" s="193">
        <f t="shared" si="33"/>
        <v>4.726</v>
      </c>
      <c r="S90" s="193">
        <v>0.24399999999999999</v>
      </c>
      <c r="T90" s="195">
        <v>14.9557</v>
      </c>
      <c r="U90" s="193">
        <f t="shared" si="34"/>
        <v>3.649</v>
      </c>
      <c r="V90" s="193">
        <v>0.22700000000000001</v>
      </c>
      <c r="W90" s="195">
        <v>16.7654</v>
      </c>
      <c r="X90" s="193">
        <f t="shared" si="35"/>
        <v>3.806</v>
      </c>
      <c r="Y90" s="193">
        <v>0.22800000000000001</v>
      </c>
      <c r="Z90" s="195">
        <v>16.7654</v>
      </c>
      <c r="AA90" s="193">
        <f t="shared" si="36"/>
        <v>3.823</v>
      </c>
      <c r="AB90" s="193">
        <v>0.434</v>
      </c>
      <c r="AC90" s="195">
        <v>16.7654</v>
      </c>
      <c r="AD90" s="193">
        <f t="shared" si="37"/>
        <v>7.2759999999999998</v>
      </c>
      <c r="AE90" s="193">
        <v>0.436</v>
      </c>
      <c r="AF90" s="195">
        <v>16.7654</v>
      </c>
      <c r="AG90" s="193">
        <f t="shared" si="38"/>
        <v>7.31</v>
      </c>
      <c r="AH90" s="193">
        <v>0.41199999999999998</v>
      </c>
      <c r="AI90" s="195">
        <v>16.7654</v>
      </c>
      <c r="AJ90" s="193">
        <f t="shared" si="39"/>
        <v>6.907</v>
      </c>
      <c r="AK90" s="193">
        <v>0.35399999999999998</v>
      </c>
      <c r="AL90" s="195">
        <v>16.7654</v>
      </c>
      <c r="AM90" s="193">
        <f t="shared" si="40"/>
        <v>5.9349999999999996</v>
      </c>
      <c r="AN90" s="193">
        <f t="shared" si="18"/>
        <v>3.8450000000000002</v>
      </c>
      <c r="AO90" s="193">
        <f t="shared" si="41"/>
        <v>61.289000000000001</v>
      </c>
      <c r="AP90" s="15"/>
      <c r="AR90" s="15">
        <v>3.83</v>
      </c>
      <c r="AS90" s="14">
        <f t="shared" si="42"/>
        <v>1.5000000000000124E-2</v>
      </c>
    </row>
    <row r="91" spans="1:47" s="18" customFormat="1" ht="60.75" customHeight="1" x14ac:dyDescent="0.2">
      <c r="A91" s="75" t="s">
        <v>222</v>
      </c>
      <c r="B91" s="73" t="s">
        <v>100</v>
      </c>
      <c r="C91" s="74" t="s">
        <v>280</v>
      </c>
      <c r="D91" s="193">
        <v>2.2919999999999998</v>
      </c>
      <c r="E91" s="195">
        <v>14.9557</v>
      </c>
      <c r="F91" s="193">
        <f t="shared" si="29"/>
        <v>34.277999999999999</v>
      </c>
      <c r="G91" s="193">
        <v>2.3620000000000001</v>
      </c>
      <c r="H91" s="195">
        <v>14.9557</v>
      </c>
      <c r="I91" s="193">
        <f t="shared" si="30"/>
        <v>35.325000000000003</v>
      </c>
      <c r="J91" s="193">
        <v>2.2810000000000001</v>
      </c>
      <c r="K91" s="195">
        <v>14.9557</v>
      </c>
      <c r="L91" s="193">
        <f t="shared" si="31"/>
        <v>34.113999999999997</v>
      </c>
      <c r="M91" s="193">
        <v>2.3090000000000002</v>
      </c>
      <c r="N91" s="195">
        <v>14.9557</v>
      </c>
      <c r="O91" s="193">
        <f t="shared" si="32"/>
        <v>34.533000000000001</v>
      </c>
      <c r="P91" s="193">
        <v>2.57</v>
      </c>
      <c r="Q91" s="195">
        <v>14.9557</v>
      </c>
      <c r="R91" s="193">
        <f t="shared" si="33"/>
        <v>38.436</v>
      </c>
      <c r="S91" s="193">
        <v>2.536</v>
      </c>
      <c r="T91" s="195">
        <v>14.9557</v>
      </c>
      <c r="U91" s="193">
        <f t="shared" si="34"/>
        <v>37.927999999999997</v>
      </c>
      <c r="V91" s="193">
        <v>2.536</v>
      </c>
      <c r="W91" s="195">
        <v>16.7654</v>
      </c>
      <c r="X91" s="193">
        <f t="shared" si="35"/>
        <v>42.517000000000003</v>
      </c>
      <c r="Y91" s="193">
        <v>2.6259999999999999</v>
      </c>
      <c r="Z91" s="195">
        <v>16.7654</v>
      </c>
      <c r="AA91" s="193">
        <f t="shared" si="36"/>
        <v>44.026000000000003</v>
      </c>
      <c r="AB91" s="193">
        <v>2.4470000000000001</v>
      </c>
      <c r="AC91" s="195">
        <v>16.7654</v>
      </c>
      <c r="AD91" s="193">
        <f t="shared" si="37"/>
        <v>41.024999999999999</v>
      </c>
      <c r="AE91" s="193">
        <v>2.379</v>
      </c>
      <c r="AF91" s="195">
        <v>16.7654</v>
      </c>
      <c r="AG91" s="193">
        <f t="shared" si="38"/>
        <v>39.884999999999998</v>
      </c>
      <c r="AH91" s="193">
        <v>2.2200000000000002</v>
      </c>
      <c r="AI91" s="195">
        <v>16.7654</v>
      </c>
      <c r="AJ91" s="193">
        <f t="shared" si="39"/>
        <v>37.219000000000001</v>
      </c>
      <c r="AK91" s="193">
        <v>1.4419999999999999</v>
      </c>
      <c r="AL91" s="195">
        <v>16.7654</v>
      </c>
      <c r="AM91" s="193">
        <f t="shared" si="40"/>
        <v>24.175999999999998</v>
      </c>
      <c r="AN91" s="193">
        <f t="shared" si="18"/>
        <v>28</v>
      </c>
      <c r="AO91" s="193">
        <f t="shared" si="41"/>
        <v>443.46199999999999</v>
      </c>
      <c r="AP91" s="19">
        <v>2</v>
      </c>
      <c r="AR91" s="15">
        <v>5.46</v>
      </c>
      <c r="AS91" s="14">
        <f t="shared" si="42"/>
        <v>22.54</v>
      </c>
    </row>
    <row r="92" spans="1:47" s="18" customFormat="1" ht="53.25" customHeight="1" x14ac:dyDescent="0.25">
      <c r="A92" s="75" t="s">
        <v>250</v>
      </c>
      <c r="B92" s="88" t="s">
        <v>98</v>
      </c>
      <c r="C92" s="74" t="s">
        <v>280</v>
      </c>
      <c r="D92" s="193">
        <v>0.80100000000000005</v>
      </c>
      <c r="E92" s="195">
        <v>14.9557</v>
      </c>
      <c r="F92" s="193">
        <f t="shared" si="29"/>
        <v>11.98</v>
      </c>
      <c r="G92" s="193">
        <v>1.083</v>
      </c>
      <c r="H92" s="195">
        <v>14.9557</v>
      </c>
      <c r="I92" s="193">
        <f t="shared" si="30"/>
        <v>16.196999999999999</v>
      </c>
      <c r="J92" s="193">
        <v>1.111</v>
      </c>
      <c r="K92" s="195">
        <v>14.9557</v>
      </c>
      <c r="L92" s="193">
        <f t="shared" si="31"/>
        <v>16.616</v>
      </c>
      <c r="M92" s="193">
        <v>1.1279999999999999</v>
      </c>
      <c r="N92" s="195">
        <v>14.9557</v>
      </c>
      <c r="O92" s="193">
        <f t="shared" si="32"/>
        <v>16.87</v>
      </c>
      <c r="P92" s="193">
        <v>1.1910000000000001</v>
      </c>
      <c r="Q92" s="195">
        <v>14.9557</v>
      </c>
      <c r="R92" s="193">
        <f t="shared" si="33"/>
        <v>17.812000000000001</v>
      </c>
      <c r="S92" s="193">
        <v>1.5680000000000001</v>
      </c>
      <c r="T92" s="195">
        <v>14.9557</v>
      </c>
      <c r="U92" s="193">
        <f t="shared" si="34"/>
        <v>23.451000000000001</v>
      </c>
      <c r="V92" s="193">
        <v>1.8680000000000001</v>
      </c>
      <c r="W92" s="195">
        <v>16.7654</v>
      </c>
      <c r="X92" s="193">
        <f t="shared" si="35"/>
        <v>31.318000000000001</v>
      </c>
      <c r="Y92" s="193">
        <v>2.2509999999999999</v>
      </c>
      <c r="Z92" s="195">
        <v>16.7654</v>
      </c>
      <c r="AA92" s="193">
        <f t="shared" si="36"/>
        <v>37.738999999999997</v>
      </c>
      <c r="AB92" s="193">
        <v>1.524</v>
      </c>
      <c r="AC92" s="195">
        <v>16.7654</v>
      </c>
      <c r="AD92" s="193">
        <f t="shared" si="37"/>
        <v>25.55</v>
      </c>
      <c r="AE92" s="193">
        <v>1.0449999999999999</v>
      </c>
      <c r="AF92" s="195">
        <v>16.7654</v>
      </c>
      <c r="AG92" s="193">
        <f t="shared" si="38"/>
        <v>17.52</v>
      </c>
      <c r="AH92" s="193">
        <v>1.161</v>
      </c>
      <c r="AI92" s="195">
        <v>16.7654</v>
      </c>
      <c r="AJ92" s="193">
        <f t="shared" si="39"/>
        <v>19.465</v>
      </c>
      <c r="AK92" s="193">
        <v>1.2010000000000001</v>
      </c>
      <c r="AL92" s="195">
        <v>16.7654</v>
      </c>
      <c r="AM92" s="193">
        <f t="shared" si="40"/>
        <v>20.135000000000002</v>
      </c>
      <c r="AN92" s="193">
        <f t="shared" si="18"/>
        <v>15.931999999999999</v>
      </c>
      <c r="AO92" s="193">
        <f t="shared" si="41"/>
        <v>254.65300000000002</v>
      </c>
      <c r="AR92" s="15">
        <v>15.174999999999999</v>
      </c>
      <c r="AS92" s="14">
        <f t="shared" si="42"/>
        <v>0.75699999999999967</v>
      </c>
    </row>
    <row r="93" spans="1:47" s="89" customFormat="1" ht="51" customHeight="1" x14ac:dyDescent="0.25">
      <c r="A93" s="75" t="s">
        <v>153</v>
      </c>
      <c r="B93" s="88" t="s">
        <v>19</v>
      </c>
      <c r="C93" s="74" t="s">
        <v>280</v>
      </c>
      <c r="D93" s="193">
        <v>9.5540000000000003</v>
      </c>
      <c r="E93" s="195">
        <v>12.723100000000001</v>
      </c>
      <c r="F93" s="193">
        <f t="shared" si="29"/>
        <v>121.556</v>
      </c>
      <c r="G93" s="193">
        <v>8.4640000000000004</v>
      </c>
      <c r="H93" s="195">
        <v>12.723100000000001</v>
      </c>
      <c r="I93" s="193">
        <f t="shared" si="30"/>
        <v>107.688</v>
      </c>
      <c r="J93" s="193">
        <v>7.6559999999999997</v>
      </c>
      <c r="K93" s="195">
        <v>12.723100000000001</v>
      </c>
      <c r="L93" s="193">
        <f t="shared" si="31"/>
        <v>97.408000000000001</v>
      </c>
      <c r="M93" s="193">
        <v>6.8540000000000001</v>
      </c>
      <c r="N93" s="195">
        <v>12.723100000000001</v>
      </c>
      <c r="O93" s="193">
        <f t="shared" si="32"/>
        <v>87.203999999999994</v>
      </c>
      <c r="P93" s="193">
        <v>7.7370000000000001</v>
      </c>
      <c r="Q93" s="195">
        <v>12.723100000000001</v>
      </c>
      <c r="R93" s="193">
        <f t="shared" si="33"/>
        <v>98.438999999999993</v>
      </c>
      <c r="S93" s="193">
        <v>10.734</v>
      </c>
      <c r="T93" s="195">
        <v>12.723100000000001</v>
      </c>
      <c r="U93" s="193">
        <f t="shared" si="34"/>
        <v>136.57</v>
      </c>
      <c r="V93" s="193">
        <v>12.534000000000001</v>
      </c>
      <c r="W93" s="195">
        <v>14.262499999999999</v>
      </c>
      <c r="X93" s="193">
        <f t="shared" si="35"/>
        <v>178.76599999999999</v>
      </c>
      <c r="Y93" s="193">
        <v>14.414</v>
      </c>
      <c r="Z93" s="195">
        <v>14.262499999999999</v>
      </c>
      <c r="AA93" s="193">
        <f t="shared" si="36"/>
        <v>205.58</v>
      </c>
      <c r="AB93" s="193">
        <v>13.454000000000001</v>
      </c>
      <c r="AC93" s="195">
        <v>14.262499999999999</v>
      </c>
      <c r="AD93" s="193">
        <f t="shared" si="37"/>
        <v>191.88800000000001</v>
      </c>
      <c r="AE93" s="193">
        <v>7.734</v>
      </c>
      <c r="AF93" s="195">
        <v>14.262499999999999</v>
      </c>
      <c r="AG93" s="193">
        <f t="shared" si="38"/>
        <v>110.306</v>
      </c>
      <c r="AH93" s="193">
        <v>7.7539999999999996</v>
      </c>
      <c r="AI93" s="195">
        <v>14.262499999999999</v>
      </c>
      <c r="AJ93" s="193">
        <f t="shared" si="39"/>
        <v>110.59099999999999</v>
      </c>
      <c r="AK93" s="193">
        <v>7.6539999999999999</v>
      </c>
      <c r="AL93" s="195">
        <v>14.262499999999999</v>
      </c>
      <c r="AM93" s="193">
        <f t="shared" si="40"/>
        <v>109.16500000000001</v>
      </c>
      <c r="AN93" s="193">
        <f t="shared" si="18"/>
        <v>114.54300000000001</v>
      </c>
      <c r="AO93" s="193">
        <f t="shared" si="41"/>
        <v>1555.1609999999998</v>
      </c>
      <c r="AP93" s="13"/>
      <c r="AR93" s="15">
        <v>114.45</v>
      </c>
      <c r="AS93" s="14">
        <f t="shared" si="42"/>
        <v>9.3000000000003524E-2</v>
      </c>
      <c r="AU93" s="159"/>
    </row>
    <row r="94" spans="1:47" s="89" customFormat="1" ht="48.75" customHeight="1" x14ac:dyDescent="0.25">
      <c r="A94" s="75" t="s">
        <v>223</v>
      </c>
      <c r="B94" s="88" t="s">
        <v>50</v>
      </c>
      <c r="C94" s="74" t="s">
        <v>280</v>
      </c>
      <c r="D94" s="193">
        <v>5.5730000000000004</v>
      </c>
      <c r="E94" s="195">
        <v>12.723100000000001</v>
      </c>
      <c r="F94" s="193">
        <f t="shared" si="29"/>
        <v>70.906000000000006</v>
      </c>
      <c r="G94" s="193">
        <v>5.9969999999999999</v>
      </c>
      <c r="H94" s="195">
        <v>12.723100000000001</v>
      </c>
      <c r="I94" s="193">
        <f t="shared" si="30"/>
        <v>76.3</v>
      </c>
      <c r="J94" s="193">
        <v>4.9139999999999997</v>
      </c>
      <c r="K94" s="195">
        <v>12.723100000000001</v>
      </c>
      <c r="L94" s="193">
        <f t="shared" si="31"/>
        <v>62.521000000000001</v>
      </c>
      <c r="M94" s="193">
        <v>5.76</v>
      </c>
      <c r="N94" s="195">
        <v>12.723100000000001</v>
      </c>
      <c r="O94" s="193">
        <f t="shared" si="32"/>
        <v>73.284999999999997</v>
      </c>
      <c r="P94" s="193">
        <v>4.3780000000000001</v>
      </c>
      <c r="Q94" s="195">
        <v>12.723100000000001</v>
      </c>
      <c r="R94" s="193">
        <f t="shared" si="33"/>
        <v>55.701999999999998</v>
      </c>
      <c r="S94" s="193">
        <v>5.7119999999999997</v>
      </c>
      <c r="T94" s="195">
        <v>12.723100000000001</v>
      </c>
      <c r="U94" s="193">
        <f t="shared" si="34"/>
        <v>72.674000000000007</v>
      </c>
      <c r="V94" s="193">
        <v>6.4189999999999996</v>
      </c>
      <c r="W94" s="195">
        <v>14.261799999999999</v>
      </c>
      <c r="X94" s="193">
        <f t="shared" si="35"/>
        <v>91.546000000000006</v>
      </c>
      <c r="Y94" s="193">
        <v>9.6660000000000004</v>
      </c>
      <c r="Z94" s="195">
        <v>14.261799999999999</v>
      </c>
      <c r="AA94" s="193">
        <f t="shared" si="36"/>
        <v>137.85499999999999</v>
      </c>
      <c r="AB94" s="193">
        <v>3.339</v>
      </c>
      <c r="AC94" s="195">
        <v>14.261799999999999</v>
      </c>
      <c r="AD94" s="193">
        <f t="shared" si="37"/>
        <v>47.62</v>
      </c>
      <c r="AE94" s="193">
        <v>4.63</v>
      </c>
      <c r="AF94" s="195">
        <v>14.261799999999999</v>
      </c>
      <c r="AG94" s="193">
        <f t="shared" si="38"/>
        <v>66.031999999999996</v>
      </c>
      <c r="AH94" s="193">
        <v>4.6639999999999997</v>
      </c>
      <c r="AI94" s="195">
        <v>14.261799999999999</v>
      </c>
      <c r="AJ94" s="193">
        <f t="shared" si="39"/>
        <v>66.516999999999996</v>
      </c>
      <c r="AK94" s="193">
        <v>4.9249999999999998</v>
      </c>
      <c r="AL94" s="195">
        <v>14.261799999999999</v>
      </c>
      <c r="AM94" s="193">
        <f t="shared" si="40"/>
        <v>70.239000000000004</v>
      </c>
      <c r="AN94" s="193">
        <f t="shared" si="18"/>
        <v>65.977000000000004</v>
      </c>
      <c r="AO94" s="193">
        <f t="shared" si="41"/>
        <v>891.19700000000012</v>
      </c>
      <c r="AP94" s="13"/>
      <c r="AR94" s="15">
        <v>65.89</v>
      </c>
      <c r="AS94" s="14">
        <f t="shared" si="42"/>
        <v>8.7000000000003297E-2</v>
      </c>
    </row>
    <row r="95" spans="1:47" s="13" customFormat="1" ht="157.5" customHeight="1" x14ac:dyDescent="0.2">
      <c r="A95" s="75" t="s">
        <v>224</v>
      </c>
      <c r="B95" s="73" t="s">
        <v>62</v>
      </c>
      <c r="C95" s="74" t="s">
        <v>280</v>
      </c>
      <c r="D95" s="193">
        <v>0.89500000000000002</v>
      </c>
      <c r="E95" s="193">
        <v>14.9558</v>
      </c>
      <c r="F95" s="193">
        <f t="shared" si="29"/>
        <v>13.385</v>
      </c>
      <c r="G95" s="193">
        <v>1.1539999999999999</v>
      </c>
      <c r="H95" s="193">
        <v>14.9558</v>
      </c>
      <c r="I95" s="193">
        <f t="shared" si="30"/>
        <v>17.259</v>
      </c>
      <c r="J95" s="193">
        <v>1.1539999999999999</v>
      </c>
      <c r="K95" s="193">
        <v>14.9558</v>
      </c>
      <c r="L95" s="193">
        <f t="shared" si="31"/>
        <v>17.259</v>
      </c>
      <c r="M95" s="193">
        <v>0.85899999999999999</v>
      </c>
      <c r="N95" s="193">
        <v>14.9558</v>
      </c>
      <c r="O95" s="193">
        <f t="shared" si="32"/>
        <v>12.847</v>
      </c>
      <c r="P95" s="193">
        <v>1.2949999999999999</v>
      </c>
      <c r="Q95" s="193">
        <v>14.9558</v>
      </c>
      <c r="R95" s="193">
        <f t="shared" si="33"/>
        <v>19.367999999999999</v>
      </c>
      <c r="S95" s="193">
        <v>1.23</v>
      </c>
      <c r="T95" s="193">
        <v>14.9558</v>
      </c>
      <c r="U95" s="193">
        <f t="shared" si="34"/>
        <v>18.396000000000001</v>
      </c>
      <c r="V95" s="193">
        <v>1.262</v>
      </c>
      <c r="W95" s="195">
        <v>16.7654</v>
      </c>
      <c r="X95" s="193">
        <f t="shared" si="35"/>
        <v>21.158000000000001</v>
      </c>
      <c r="Y95" s="193">
        <v>5.9560000000000004</v>
      </c>
      <c r="Z95" s="195">
        <v>16.7654</v>
      </c>
      <c r="AA95" s="193">
        <f t="shared" si="36"/>
        <v>99.855000000000004</v>
      </c>
      <c r="AB95" s="193">
        <v>4.9279999999999999</v>
      </c>
      <c r="AC95" s="195">
        <v>16.7654</v>
      </c>
      <c r="AD95" s="193">
        <f t="shared" si="37"/>
        <v>82.62</v>
      </c>
      <c r="AE95" s="193">
        <v>4.8360000000000003</v>
      </c>
      <c r="AF95" s="195">
        <v>16.7654</v>
      </c>
      <c r="AG95" s="193">
        <f t="shared" si="38"/>
        <v>81.076999999999998</v>
      </c>
      <c r="AH95" s="193">
        <v>4.984</v>
      </c>
      <c r="AI95" s="195">
        <v>16.7654</v>
      </c>
      <c r="AJ95" s="193">
        <f t="shared" si="39"/>
        <v>83.558999999999997</v>
      </c>
      <c r="AK95" s="193">
        <v>4.9260000000000002</v>
      </c>
      <c r="AL95" s="195">
        <v>16.7654</v>
      </c>
      <c r="AM95" s="193">
        <f t="shared" si="40"/>
        <v>82.585999999999999</v>
      </c>
      <c r="AN95" s="193">
        <f t="shared" si="18"/>
        <v>33.479000000000006</v>
      </c>
      <c r="AO95" s="193">
        <f t="shared" si="41"/>
        <v>549.36900000000003</v>
      </c>
      <c r="AR95" s="15">
        <v>13.38</v>
      </c>
      <c r="AS95" s="14">
        <f t="shared" si="42"/>
        <v>20.099000000000004</v>
      </c>
      <c r="AU95" s="159">
        <v>4</v>
      </c>
    </row>
    <row r="96" spans="1:47" s="13" customFormat="1" ht="111" customHeight="1" x14ac:dyDescent="0.25">
      <c r="A96" s="75" t="s">
        <v>228</v>
      </c>
      <c r="B96" s="73" t="s">
        <v>76</v>
      </c>
      <c r="C96" s="76"/>
      <c r="D96" s="193">
        <f>D97+D98+D99+D100+D101</f>
        <v>99.31</v>
      </c>
      <c r="E96" s="193">
        <f t="shared" ref="E96:G96" si="43">E97+E98+E99+E100+E101</f>
        <v>66.673100000000005</v>
      </c>
      <c r="F96" s="193">
        <f t="shared" si="43"/>
        <v>1336.1659669999999</v>
      </c>
      <c r="G96" s="193">
        <f t="shared" si="43"/>
        <v>100.40299999999999</v>
      </c>
      <c r="H96" s="193">
        <f t="shared" ref="H96" si="44">H97+H98+H99+H100+H101</f>
        <v>66.673100000000005</v>
      </c>
      <c r="I96" s="193">
        <f t="shared" ref="I96" si="45">I97+I98+I99+I100+I101</f>
        <v>1351.1435072000002</v>
      </c>
      <c r="J96" s="193">
        <f t="shared" ref="J96" si="46">J97+J98+J99+J100+J101</f>
        <v>98.123000000000005</v>
      </c>
      <c r="K96" s="193">
        <f t="shared" ref="K96" si="47">K97+K98+K99+K100+K101</f>
        <v>66.673100000000005</v>
      </c>
      <c r="L96" s="193">
        <f t="shared" ref="L96" si="48">L97+L98+L99+L100+L101</f>
        <v>1320.7654591999999</v>
      </c>
      <c r="M96" s="193">
        <f t="shared" ref="M96" si="49">M97+M98+M99+M100+M101</f>
        <v>89.292000000000002</v>
      </c>
      <c r="N96" s="193">
        <f t="shared" ref="N96" si="50">N97+N98+N99+N100+N101</f>
        <v>66.673100000000005</v>
      </c>
      <c r="O96" s="193">
        <f t="shared" ref="O96" si="51">O97+O98+O99+O100+O101</f>
        <v>1208.5536248000001</v>
      </c>
      <c r="P96" s="193">
        <f t="shared" ref="P96" si="52">P97+P98+P99+P100+P101</f>
        <v>76.704999999999998</v>
      </c>
      <c r="Q96" s="193">
        <f t="shared" ref="Q96" si="53">Q97+Q98+Q99+Q100+Q101</f>
        <v>66.673100000000005</v>
      </c>
      <c r="R96" s="193">
        <f t="shared" ref="R96" si="54">R97+R98+R99+R100+R101</f>
        <v>1048.673888</v>
      </c>
      <c r="S96" s="193">
        <f t="shared" ref="S96" si="55">S97+S98+S99+S100+S101</f>
        <v>85.971000000000004</v>
      </c>
      <c r="T96" s="193">
        <f t="shared" ref="T96" si="56">T97+T98+T99+T100+T101</f>
        <v>66.673100000000005</v>
      </c>
      <c r="U96" s="193">
        <f t="shared" ref="U96" si="57">U97+U98+U99+U100+U101</f>
        <v>1166.7043103999999</v>
      </c>
      <c r="V96" s="193">
        <f t="shared" ref="V96" si="58">V97+V98+V99+V100+V101</f>
        <v>77.298000000000002</v>
      </c>
      <c r="W96" s="193">
        <f t="shared" ref="W96" si="59">W97+W98+W99+W100+W101</f>
        <v>74.740499999999997</v>
      </c>
      <c r="X96" s="193">
        <f t="shared" ref="X96" si="60">X97+X98+X99+X100+X101</f>
        <v>1185.0518449000001</v>
      </c>
      <c r="Y96" s="193">
        <f t="shared" ref="Y96" si="61">Y97+Y98+Y99+Y100+Y101</f>
        <v>79.106999999999999</v>
      </c>
      <c r="Z96" s="193">
        <f t="shared" ref="Z96" si="62">Z97+Z98+Z99+Z100+Z101</f>
        <v>74.740499999999997</v>
      </c>
      <c r="AA96" s="193">
        <f t="shared" ref="AA96" si="63">AA97+AA98+AA99+AA100+AA101</f>
        <v>1210.3715811</v>
      </c>
      <c r="AB96" s="193">
        <f t="shared" ref="AB96" si="64">AB97+AB98+AB99+AB100+AB101</f>
        <v>80.210000000000008</v>
      </c>
      <c r="AC96" s="193">
        <f t="shared" ref="AC96" si="65">AC97+AC98+AC99+AC100+AC101</f>
        <v>74.740499999999997</v>
      </c>
      <c r="AD96" s="193">
        <f t="shared" ref="AD96" si="66">AD97+AD98+AD99+AD100+AD101</f>
        <v>1225.8423284999999</v>
      </c>
      <c r="AE96" s="193">
        <f t="shared" ref="AE96" si="67">AE97+AE98+AE99+AE100+AE101</f>
        <v>83.043999999999997</v>
      </c>
      <c r="AF96" s="193">
        <f t="shared" ref="AF96" si="68">AF97+AF98+AF99+AF100+AF101</f>
        <v>74.740499999999997</v>
      </c>
      <c r="AG96" s="193">
        <f t="shared" ref="AG96" si="69">AG97+AG98+AG99+AG100+AG101</f>
        <v>1264.9536436999999</v>
      </c>
      <c r="AH96" s="193">
        <f t="shared" ref="AH96" si="70">AH97+AH98+AH99+AH100+AH101</f>
        <v>92.733999999999995</v>
      </c>
      <c r="AI96" s="193">
        <f t="shared" ref="AI96" si="71">AI97+AI98+AI99+AI100+AI101</f>
        <v>74.740499999999997</v>
      </c>
      <c r="AJ96" s="193">
        <f t="shared" ref="AJ96" si="72">AJ97+AJ98+AJ99+AJ100+AJ101</f>
        <v>1403.1692336999999</v>
      </c>
      <c r="AK96" s="193">
        <f t="shared" ref="AK96" si="73">AK97+AK98+AK99+AK100+AK101</f>
        <v>92.936999999999998</v>
      </c>
      <c r="AL96" s="193">
        <f t="shared" ref="AL96" si="74">AL97+AL98+AL99+AL100+AL101</f>
        <v>74.740499999999997</v>
      </c>
      <c r="AM96" s="193">
        <f t="shared" ref="AM96" si="75">AM97+AM98+AM99+AM100+AM101</f>
        <v>1405.8693570999999</v>
      </c>
      <c r="AN96" s="193">
        <f t="shared" si="18"/>
        <v>1055.134</v>
      </c>
      <c r="AO96" s="193">
        <f>AM96+AJ96+AG96+AD96+AA96+X96++U96+R96+O96+L96+I96+F96</f>
        <v>15127.264745600001</v>
      </c>
      <c r="AR96" s="15">
        <v>971.39</v>
      </c>
      <c r="AS96" s="14"/>
      <c r="AU96" s="78"/>
    </row>
    <row r="97" spans="1:47" s="13" customFormat="1" ht="33" customHeight="1" x14ac:dyDescent="0.2">
      <c r="A97" s="75" t="s">
        <v>240</v>
      </c>
      <c r="B97" s="73" t="s">
        <v>58</v>
      </c>
      <c r="C97" s="74" t="s">
        <v>280</v>
      </c>
      <c r="D97" s="193">
        <v>2.194</v>
      </c>
      <c r="E97" s="193">
        <v>12.8634</v>
      </c>
      <c r="F97" s="193">
        <f>D97*E97</f>
        <v>28.222299599999999</v>
      </c>
      <c r="G97" s="193">
        <v>2.6669999999999998</v>
      </c>
      <c r="H97" s="193">
        <v>12.8634</v>
      </c>
      <c r="I97" s="193">
        <f>G97*H97</f>
        <v>34.306687799999999</v>
      </c>
      <c r="J97" s="193">
        <v>2.2669999999999999</v>
      </c>
      <c r="K97" s="193">
        <v>12.8634</v>
      </c>
      <c r="L97" s="193">
        <f>J97*K97</f>
        <v>29.161327799999999</v>
      </c>
      <c r="M97" s="193">
        <v>2.4350000000000001</v>
      </c>
      <c r="N97" s="193">
        <v>12.8634</v>
      </c>
      <c r="O97" s="193">
        <f>M97*N97</f>
        <v>31.322379000000002</v>
      </c>
      <c r="P97" s="193">
        <v>2.339</v>
      </c>
      <c r="Q97" s="193">
        <v>12.8634</v>
      </c>
      <c r="R97" s="193">
        <f>P97*Q97</f>
        <v>30.087492600000001</v>
      </c>
      <c r="S97" s="193">
        <v>3.2250000000000001</v>
      </c>
      <c r="T97" s="193">
        <v>12.8634</v>
      </c>
      <c r="U97" s="193">
        <f>S97*T97</f>
        <v>41.484465</v>
      </c>
      <c r="V97" s="193">
        <v>3.2919999999999998</v>
      </c>
      <c r="W97" s="195">
        <v>14.4198</v>
      </c>
      <c r="X97" s="193">
        <f>V97*W97</f>
        <v>47.469981599999997</v>
      </c>
      <c r="Y97" s="193">
        <v>3.7509999999999999</v>
      </c>
      <c r="Z97" s="195">
        <v>14.4198</v>
      </c>
      <c r="AA97" s="193">
        <f>Y97*Z97</f>
        <v>54.088669799999998</v>
      </c>
      <c r="AB97" s="193">
        <v>2.794</v>
      </c>
      <c r="AC97" s="195">
        <v>14.4198</v>
      </c>
      <c r="AD97" s="193">
        <f>AB97*AC97</f>
        <v>40.288921200000004</v>
      </c>
      <c r="AE97" s="193">
        <v>2.9580000000000002</v>
      </c>
      <c r="AF97" s="195">
        <v>14.4198</v>
      </c>
      <c r="AG97" s="193">
        <f>AE97*AF97</f>
        <v>42.653768400000004</v>
      </c>
      <c r="AH97" s="193">
        <v>2.4580000000000002</v>
      </c>
      <c r="AI97" s="195">
        <v>14.4198</v>
      </c>
      <c r="AJ97" s="193">
        <f>AH97*AI97</f>
        <v>35.443868400000007</v>
      </c>
      <c r="AK97" s="193">
        <v>2.4609999999999999</v>
      </c>
      <c r="AL97" s="195">
        <v>14.4198</v>
      </c>
      <c r="AM97" s="193">
        <f>AK97*AL97</f>
        <v>35.487127799999996</v>
      </c>
      <c r="AN97" s="193">
        <f t="shared" si="18"/>
        <v>32.841000000000001</v>
      </c>
      <c r="AO97" s="193">
        <f t="shared" ref="AO97:AO101" si="76">AM97+AJ97+AG97+AD97+AA97+X97++U97+R97+O97+L97+I97+F97</f>
        <v>450.01698900000002</v>
      </c>
      <c r="AP97" s="90"/>
      <c r="AR97" s="15">
        <v>32.479999999999997</v>
      </c>
      <c r="AS97" s="14">
        <f>AN97-AR97</f>
        <v>0.36100000000000421</v>
      </c>
    </row>
    <row r="98" spans="1:47" s="13" customFormat="1" ht="30.75" customHeight="1" x14ac:dyDescent="0.2">
      <c r="A98" s="75" t="s">
        <v>241</v>
      </c>
      <c r="B98" s="73" t="s">
        <v>303</v>
      </c>
      <c r="C98" s="74" t="s">
        <v>280</v>
      </c>
      <c r="D98" s="193">
        <v>29.87</v>
      </c>
      <c r="E98" s="193">
        <v>12.7224</v>
      </c>
      <c r="F98" s="193">
        <f>D98*E98</f>
        <v>380.01808800000003</v>
      </c>
      <c r="G98" s="193">
        <v>29.07</v>
      </c>
      <c r="H98" s="193">
        <v>12.7224</v>
      </c>
      <c r="I98" s="193">
        <f>G98*H98</f>
        <v>369.84016800000001</v>
      </c>
      <c r="J98" s="193">
        <v>28.47</v>
      </c>
      <c r="K98" s="193">
        <v>12.7224</v>
      </c>
      <c r="L98" s="193">
        <f>J98*K98</f>
        <v>362.206728</v>
      </c>
      <c r="M98" s="193">
        <v>20.55</v>
      </c>
      <c r="N98" s="193">
        <v>12.7224</v>
      </c>
      <c r="O98" s="193">
        <f>M98*N98</f>
        <v>261.44532000000004</v>
      </c>
      <c r="P98" s="193">
        <v>7.68</v>
      </c>
      <c r="Q98" s="193">
        <v>12.7224</v>
      </c>
      <c r="R98" s="193">
        <f>P98*Q98</f>
        <v>97.708032000000003</v>
      </c>
      <c r="S98" s="193">
        <v>11.18</v>
      </c>
      <c r="T98" s="193">
        <v>12.7224</v>
      </c>
      <c r="U98" s="193">
        <f>S98*T98</f>
        <v>142.23643200000001</v>
      </c>
      <c r="V98" s="193">
        <v>11.31</v>
      </c>
      <c r="W98" s="195">
        <v>14.261799999999999</v>
      </c>
      <c r="X98" s="193">
        <f>V98*W98</f>
        <v>161.30095800000001</v>
      </c>
      <c r="Y98" s="193">
        <v>10.11</v>
      </c>
      <c r="Z98" s="195">
        <v>14.261799999999999</v>
      </c>
      <c r="AA98" s="193">
        <f t="shared" ref="AA98:AA101" si="77">Y98*Z98</f>
        <v>144.18679799999998</v>
      </c>
      <c r="AB98" s="193">
        <v>8.15</v>
      </c>
      <c r="AC98" s="195">
        <v>14.261799999999999</v>
      </c>
      <c r="AD98" s="193">
        <f t="shared" ref="AD98:AD101" si="78">AB98*AC98</f>
        <v>116.23367</v>
      </c>
      <c r="AE98" s="193">
        <v>11.47</v>
      </c>
      <c r="AF98" s="195">
        <v>14.261799999999999</v>
      </c>
      <c r="AG98" s="193">
        <f t="shared" ref="AG98:AG101" si="79">AE98*AF98</f>
        <v>163.58284599999999</v>
      </c>
      <c r="AH98" s="193">
        <v>21.71</v>
      </c>
      <c r="AI98" s="195">
        <v>14.261799999999999</v>
      </c>
      <c r="AJ98" s="193">
        <f t="shared" ref="AJ98:AJ101" si="80">AH98*AI98</f>
        <v>309.62367799999998</v>
      </c>
      <c r="AK98" s="193">
        <v>21.95</v>
      </c>
      <c r="AL98" s="195">
        <v>14.261799999999999</v>
      </c>
      <c r="AM98" s="193">
        <f t="shared" ref="AM98:AM101" si="81">AK98*AL98</f>
        <v>313.04650999999996</v>
      </c>
      <c r="AN98" s="193">
        <f t="shared" si="18"/>
        <v>211.52</v>
      </c>
      <c r="AO98" s="193">
        <f t="shared" si="76"/>
        <v>2821.429228</v>
      </c>
      <c r="AP98" s="90"/>
      <c r="AR98" s="15">
        <v>184.25</v>
      </c>
      <c r="AS98" s="14">
        <f>AN98-AR98</f>
        <v>27.27000000000001</v>
      </c>
      <c r="AU98" s="78"/>
    </row>
    <row r="99" spans="1:47" s="13" customFormat="1" ht="36" customHeight="1" x14ac:dyDescent="0.2">
      <c r="A99" s="75" t="s">
        <v>242</v>
      </c>
      <c r="B99" s="73" t="s">
        <v>336</v>
      </c>
      <c r="C99" s="74" t="s">
        <v>280</v>
      </c>
      <c r="D99" s="193">
        <v>14.195</v>
      </c>
      <c r="E99" s="193">
        <v>14.6556</v>
      </c>
      <c r="F99" s="193">
        <f>D99*E99</f>
        <v>208.03624199999999</v>
      </c>
      <c r="G99" s="193">
        <v>14.715</v>
      </c>
      <c r="H99" s="193">
        <v>14.6556</v>
      </c>
      <c r="I99" s="193">
        <f>G99*H99</f>
        <v>215.65715399999999</v>
      </c>
      <c r="J99" s="193">
        <v>14.035</v>
      </c>
      <c r="K99" s="193">
        <v>14.6556</v>
      </c>
      <c r="L99" s="193">
        <f>J99*K99</f>
        <v>205.69134600000001</v>
      </c>
      <c r="M99" s="193">
        <v>14.095000000000001</v>
      </c>
      <c r="N99" s="193">
        <v>14.6556</v>
      </c>
      <c r="O99" s="193">
        <f>M99*N99</f>
        <v>206.57068200000001</v>
      </c>
      <c r="P99" s="193">
        <v>14.234999999999999</v>
      </c>
      <c r="Q99" s="193">
        <v>14.6556</v>
      </c>
      <c r="R99" s="193">
        <f>P99*Q99</f>
        <v>208.62246599999997</v>
      </c>
      <c r="S99" s="193">
        <v>14.234999999999999</v>
      </c>
      <c r="T99" s="193">
        <v>14.6556</v>
      </c>
      <c r="U99" s="193">
        <f>S99*T99</f>
        <v>208.62246599999997</v>
      </c>
      <c r="V99" s="193">
        <v>14.635</v>
      </c>
      <c r="W99" s="195">
        <v>16.428899999999999</v>
      </c>
      <c r="X99" s="193">
        <f>V99*W99</f>
        <v>240.43695149999996</v>
      </c>
      <c r="Y99" s="193">
        <v>14.375</v>
      </c>
      <c r="Z99" s="195">
        <v>16.428899999999999</v>
      </c>
      <c r="AA99" s="193">
        <f t="shared" si="77"/>
        <v>236.1654375</v>
      </c>
      <c r="AB99" s="193">
        <v>14.335000000000001</v>
      </c>
      <c r="AC99" s="195">
        <v>16.428899999999999</v>
      </c>
      <c r="AD99" s="193">
        <f t="shared" si="78"/>
        <v>235.50828150000001</v>
      </c>
      <c r="AE99" s="193">
        <v>13.715</v>
      </c>
      <c r="AF99" s="195">
        <v>16.428899999999999</v>
      </c>
      <c r="AG99" s="193">
        <f t="shared" si="79"/>
        <v>225.32236349999997</v>
      </c>
      <c r="AH99" s="193">
        <v>13.755000000000001</v>
      </c>
      <c r="AI99" s="195">
        <v>16.428899999999999</v>
      </c>
      <c r="AJ99" s="193">
        <f t="shared" si="80"/>
        <v>225.97951950000001</v>
      </c>
      <c r="AK99" s="193">
        <v>13.675000000000001</v>
      </c>
      <c r="AL99" s="195">
        <v>16.428899999999999</v>
      </c>
      <c r="AM99" s="193">
        <f t="shared" si="81"/>
        <v>224.66520750000001</v>
      </c>
      <c r="AN99" s="193">
        <f t="shared" si="18"/>
        <v>170.00000000000003</v>
      </c>
      <c r="AO99" s="193">
        <f t="shared" si="76"/>
        <v>2641.2781170000003</v>
      </c>
      <c r="AR99" s="15">
        <v>53.4</v>
      </c>
      <c r="AS99" s="14">
        <f>AN99-AR99</f>
        <v>116.60000000000002</v>
      </c>
    </row>
    <row r="100" spans="1:47" s="13" customFormat="1" ht="38.25" customHeight="1" x14ac:dyDescent="0.2">
      <c r="A100" s="75" t="s">
        <v>243</v>
      </c>
      <c r="B100" s="73" t="s">
        <v>337</v>
      </c>
      <c r="C100" s="74" t="s">
        <v>280</v>
      </c>
      <c r="D100" s="193">
        <v>45.55</v>
      </c>
      <c r="E100" s="193">
        <v>13.709300000000001</v>
      </c>
      <c r="F100" s="193">
        <f>D100*E100</f>
        <v>624.45861500000001</v>
      </c>
      <c r="G100" s="193">
        <v>45.55</v>
      </c>
      <c r="H100" s="193">
        <v>13.709300000000001</v>
      </c>
      <c r="I100" s="193">
        <f>G100*H100</f>
        <v>624.45861500000001</v>
      </c>
      <c r="J100" s="193">
        <v>45.55</v>
      </c>
      <c r="K100" s="193">
        <v>13.709300000000001</v>
      </c>
      <c r="L100" s="193">
        <f>J100*K100</f>
        <v>624.45861500000001</v>
      </c>
      <c r="M100" s="193">
        <v>45.55</v>
      </c>
      <c r="N100" s="193">
        <v>13.709300000000001</v>
      </c>
      <c r="O100" s="193">
        <f>M100*N100</f>
        <v>624.45861500000001</v>
      </c>
      <c r="P100" s="193">
        <v>45.55</v>
      </c>
      <c r="Q100" s="193">
        <v>13.709300000000001</v>
      </c>
      <c r="R100" s="193">
        <f>P100*Q100</f>
        <v>624.45861500000001</v>
      </c>
      <c r="S100" s="193">
        <v>45.57</v>
      </c>
      <c r="T100" s="193">
        <v>13.709300000000001</v>
      </c>
      <c r="U100" s="193">
        <f>S100*T100</f>
        <v>624.73280099999999</v>
      </c>
      <c r="V100" s="193">
        <v>45.56</v>
      </c>
      <c r="W100" s="195">
        <v>15.3682</v>
      </c>
      <c r="X100" s="193">
        <f>V100*W100</f>
        <v>700.17519200000004</v>
      </c>
      <c r="Y100" s="193">
        <v>45.57</v>
      </c>
      <c r="Z100" s="195">
        <v>15.3682</v>
      </c>
      <c r="AA100" s="193">
        <f t="shared" si="77"/>
        <v>700.32887400000004</v>
      </c>
      <c r="AB100" s="193">
        <v>45.55</v>
      </c>
      <c r="AC100" s="195">
        <v>15.3682</v>
      </c>
      <c r="AD100" s="193">
        <f t="shared" si="78"/>
        <v>700.02150999999992</v>
      </c>
      <c r="AE100" s="193">
        <v>45.56</v>
      </c>
      <c r="AF100" s="195">
        <v>15.3682</v>
      </c>
      <c r="AG100" s="193">
        <f t="shared" si="79"/>
        <v>700.17519200000004</v>
      </c>
      <c r="AH100" s="193">
        <v>45.57</v>
      </c>
      <c r="AI100" s="195">
        <v>15.3682</v>
      </c>
      <c r="AJ100" s="193">
        <f t="shared" si="80"/>
        <v>700.32887400000004</v>
      </c>
      <c r="AK100" s="193">
        <v>45.55</v>
      </c>
      <c r="AL100" s="195">
        <v>15.3682</v>
      </c>
      <c r="AM100" s="193">
        <f t="shared" si="81"/>
        <v>700.02150999999992</v>
      </c>
      <c r="AN100" s="193">
        <f t="shared" si="18"/>
        <v>546.67999999999995</v>
      </c>
      <c r="AO100" s="193">
        <f t="shared" si="76"/>
        <v>7948.0770279999979</v>
      </c>
      <c r="AR100" s="15">
        <v>592.52499999999998</v>
      </c>
      <c r="AS100" s="14">
        <f>AN100-AR100</f>
        <v>-45.845000000000027</v>
      </c>
      <c r="AU100" s="78"/>
    </row>
    <row r="101" spans="1:47" s="13" customFormat="1" ht="36.75" customHeight="1" x14ac:dyDescent="0.2">
      <c r="A101" s="75" t="s">
        <v>247</v>
      </c>
      <c r="B101" s="73" t="s">
        <v>338</v>
      </c>
      <c r="C101" s="74" t="s">
        <v>280</v>
      </c>
      <c r="D101" s="193">
        <v>7.5010000000000003</v>
      </c>
      <c r="E101" s="193">
        <v>12.7224</v>
      </c>
      <c r="F101" s="193">
        <f>D101*E101</f>
        <v>95.430722400000008</v>
      </c>
      <c r="G101" s="193">
        <v>8.4009999999999998</v>
      </c>
      <c r="H101" s="193">
        <v>12.7224</v>
      </c>
      <c r="I101" s="193">
        <f>G101*H101</f>
        <v>106.8808824</v>
      </c>
      <c r="J101" s="193">
        <v>7.8010000000000002</v>
      </c>
      <c r="K101" s="193">
        <v>12.7224</v>
      </c>
      <c r="L101" s="193">
        <f>J101*K101</f>
        <v>99.247442400000011</v>
      </c>
      <c r="M101" s="193">
        <v>6.6619999999999999</v>
      </c>
      <c r="N101" s="193">
        <v>12.7224</v>
      </c>
      <c r="O101" s="193">
        <f>M101*N101</f>
        <v>84.756628800000001</v>
      </c>
      <c r="P101" s="193">
        <v>6.9009999999999998</v>
      </c>
      <c r="Q101" s="193">
        <v>12.7224</v>
      </c>
      <c r="R101" s="193">
        <f>P101*Q101</f>
        <v>87.7972824</v>
      </c>
      <c r="S101" s="193">
        <v>11.760999999999999</v>
      </c>
      <c r="T101" s="193">
        <v>12.7224</v>
      </c>
      <c r="U101" s="193">
        <f>S101*T101</f>
        <v>149.62814639999999</v>
      </c>
      <c r="V101" s="193">
        <v>2.5009999999999999</v>
      </c>
      <c r="W101" s="193">
        <v>14.261799999999999</v>
      </c>
      <c r="X101" s="193">
        <f>V101*W101</f>
        <v>35.668761799999999</v>
      </c>
      <c r="Y101" s="193">
        <v>5.3010000000000002</v>
      </c>
      <c r="Z101" s="193">
        <v>14.261799999999999</v>
      </c>
      <c r="AA101" s="193">
        <f t="shared" si="77"/>
        <v>75.601801800000004</v>
      </c>
      <c r="AB101" s="193">
        <v>9.3810000000000002</v>
      </c>
      <c r="AC101" s="193">
        <v>14.261799999999999</v>
      </c>
      <c r="AD101" s="193">
        <f t="shared" si="78"/>
        <v>133.7899458</v>
      </c>
      <c r="AE101" s="193">
        <v>9.3409999999999993</v>
      </c>
      <c r="AF101" s="193">
        <v>14.261799999999999</v>
      </c>
      <c r="AG101" s="193">
        <f t="shared" si="79"/>
        <v>133.21947379999997</v>
      </c>
      <c r="AH101" s="193">
        <v>9.2409999999999997</v>
      </c>
      <c r="AI101" s="193">
        <v>14.261799999999999</v>
      </c>
      <c r="AJ101" s="193">
        <f t="shared" si="80"/>
        <v>131.79329379999999</v>
      </c>
      <c r="AK101" s="193">
        <v>9.3010000000000002</v>
      </c>
      <c r="AL101" s="193">
        <v>14.261799999999999</v>
      </c>
      <c r="AM101" s="193">
        <f t="shared" si="81"/>
        <v>132.64900180000001</v>
      </c>
      <c r="AN101" s="193">
        <f t="shared" si="18"/>
        <v>94.093000000000004</v>
      </c>
      <c r="AO101" s="193">
        <f t="shared" si="76"/>
        <v>1266.4633835999998</v>
      </c>
      <c r="AP101" s="90"/>
      <c r="AR101" s="15">
        <v>93.08</v>
      </c>
      <c r="AS101" s="14">
        <f>AN101-AR101</f>
        <v>1.0130000000000052</v>
      </c>
      <c r="AU101" s="92"/>
    </row>
    <row r="102" spans="1:47" s="13" customFormat="1" ht="20.25" customHeight="1" x14ac:dyDescent="0.2">
      <c r="A102" s="75"/>
      <c r="B102" s="77" t="s">
        <v>20</v>
      </c>
      <c r="C102" s="77"/>
      <c r="D102" s="193">
        <f>D17+D18+D19+D86+D93+D94+D95+D96</f>
        <v>537.93599999999992</v>
      </c>
      <c r="E102" s="193">
        <f t="shared" ref="E102:AM102" si="82">E17+E18+E19+E86+E93+E94+E95+E96</f>
        <v>224.54830000000001</v>
      </c>
      <c r="F102" s="193">
        <f t="shared" si="82"/>
        <v>7532.4989669999995</v>
      </c>
      <c r="G102" s="193">
        <f t="shared" si="82"/>
        <v>506.16999999999996</v>
      </c>
      <c r="H102" s="193">
        <f t="shared" si="82"/>
        <v>224.5483261349344</v>
      </c>
      <c r="I102" s="193">
        <f t="shared" si="82"/>
        <v>7055.1355072000015</v>
      </c>
      <c r="J102" s="193">
        <f t="shared" si="82"/>
        <v>474.27199999999999</v>
      </c>
      <c r="K102" s="193">
        <f t="shared" si="82"/>
        <v>224.5483261349344</v>
      </c>
      <c r="L102" s="193">
        <f t="shared" si="82"/>
        <v>6591.0564591999992</v>
      </c>
      <c r="M102" s="193">
        <f t="shared" si="82"/>
        <v>422.77499999999998</v>
      </c>
      <c r="N102" s="193">
        <f t="shared" si="82"/>
        <v>224.5483261349344</v>
      </c>
      <c r="O102" s="193">
        <f t="shared" si="82"/>
        <v>5869.6536247999984</v>
      </c>
      <c r="P102" s="193">
        <f t="shared" si="82"/>
        <v>352.95</v>
      </c>
      <c r="Q102" s="193">
        <f t="shared" si="82"/>
        <v>224.5483261349344</v>
      </c>
      <c r="R102" s="193">
        <f t="shared" si="82"/>
        <v>4875.5988879999995</v>
      </c>
      <c r="S102" s="193">
        <f t="shared" si="82"/>
        <v>363.26499999999999</v>
      </c>
      <c r="T102" s="193">
        <f t="shared" si="82"/>
        <v>224.5483261349344</v>
      </c>
      <c r="U102" s="193">
        <f t="shared" si="82"/>
        <v>4982.1963104000006</v>
      </c>
      <c r="V102" s="193">
        <f t="shared" si="82"/>
        <v>334.51900000000001</v>
      </c>
      <c r="W102" s="193">
        <f t="shared" si="82"/>
        <v>251.71809999999999</v>
      </c>
      <c r="X102" s="193">
        <f t="shared" si="82"/>
        <v>5126.5018448999999</v>
      </c>
      <c r="Y102" s="193">
        <f t="shared" si="82"/>
        <v>397.56299999999999</v>
      </c>
      <c r="Z102" s="193">
        <f t="shared" si="82"/>
        <v>251.71809999999999</v>
      </c>
      <c r="AA102" s="193">
        <f t="shared" si="82"/>
        <v>6083.1585810999986</v>
      </c>
      <c r="AB102" s="193">
        <f t="shared" si="82"/>
        <v>406.44400000000007</v>
      </c>
      <c r="AC102" s="193">
        <f t="shared" si="82"/>
        <v>251.71809999999999</v>
      </c>
      <c r="AD102" s="193">
        <f t="shared" si="82"/>
        <v>6316.1493285000006</v>
      </c>
      <c r="AE102" s="193">
        <f t="shared" si="82"/>
        <v>434.46100000000001</v>
      </c>
      <c r="AF102" s="193">
        <f t="shared" si="82"/>
        <v>251.71809999999999</v>
      </c>
      <c r="AG102" s="193">
        <f t="shared" si="82"/>
        <v>6756.7616436999988</v>
      </c>
      <c r="AH102" s="193">
        <f t="shared" si="82"/>
        <v>479.21199999999993</v>
      </c>
      <c r="AI102" s="193">
        <f t="shared" si="82"/>
        <v>251.71809999999999</v>
      </c>
      <c r="AJ102" s="193">
        <f t="shared" si="82"/>
        <v>7463.9142337000012</v>
      </c>
      <c r="AK102" s="193">
        <f t="shared" si="82"/>
        <v>512.09299999999996</v>
      </c>
      <c r="AL102" s="193">
        <f t="shared" si="82"/>
        <v>251.71809999999999</v>
      </c>
      <c r="AM102" s="193">
        <f t="shared" si="82"/>
        <v>8008.9623570999993</v>
      </c>
      <c r="AN102" s="193">
        <f t="shared" si="18"/>
        <v>5221.6599999999989</v>
      </c>
      <c r="AO102" s="193">
        <f>AO17+AO18+AO19+AO86+AO93+AO94+AO95+AO96</f>
        <v>76661.587745600002</v>
      </c>
      <c r="AR102" s="13">
        <v>4842.1310000000003</v>
      </c>
    </row>
    <row r="103" spans="1:47" ht="14.25" customHeight="1" x14ac:dyDescent="0.3">
      <c r="A103" s="191"/>
      <c r="B103" s="191"/>
      <c r="C103" s="191"/>
      <c r="D103" s="10"/>
      <c r="E103" s="3"/>
      <c r="F103" s="114"/>
      <c r="G103" s="3"/>
      <c r="H103" s="3"/>
      <c r="I103" s="114"/>
      <c r="J103" s="3"/>
      <c r="K103" s="3"/>
      <c r="L103" s="114"/>
      <c r="M103" s="3"/>
      <c r="N103" s="3"/>
      <c r="O103" s="114"/>
      <c r="P103" s="3"/>
      <c r="Q103" s="3"/>
      <c r="R103" s="114"/>
      <c r="S103" s="3"/>
      <c r="T103" s="3"/>
      <c r="U103" s="114"/>
      <c r="V103" s="3"/>
      <c r="W103" s="3"/>
      <c r="X103" s="114"/>
      <c r="Y103" s="3"/>
      <c r="Z103" s="3"/>
      <c r="AA103" s="114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U103" s="14"/>
    </row>
    <row r="104" spans="1:47" ht="48.75" customHeight="1" x14ac:dyDescent="0.2">
      <c r="A104" s="233" t="s">
        <v>283</v>
      </c>
      <c r="B104" s="234"/>
      <c r="C104" s="234"/>
      <c r="D104" s="234"/>
      <c r="E104" s="234"/>
      <c r="F104" s="234"/>
      <c r="G104" s="234"/>
      <c r="H104" s="234"/>
      <c r="I104" s="234"/>
      <c r="J104" s="234"/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4"/>
      <c r="AU104" s="17"/>
    </row>
    <row r="105" spans="1:47" s="182" customFormat="1" ht="144.75" customHeight="1" x14ac:dyDescent="0.5">
      <c r="B105" s="229" t="s">
        <v>281</v>
      </c>
      <c r="C105" s="229"/>
      <c r="D105" s="229"/>
      <c r="E105" s="229"/>
      <c r="F105" s="229"/>
      <c r="G105" s="229"/>
      <c r="H105" s="229"/>
      <c r="I105" s="229"/>
      <c r="J105" s="229"/>
      <c r="K105" s="229"/>
      <c r="L105" s="229"/>
      <c r="M105" s="229"/>
      <c r="N105" s="116"/>
      <c r="O105" s="115"/>
      <c r="P105" s="106"/>
      <c r="Q105" s="188"/>
      <c r="R105" s="188"/>
      <c r="S105" s="117"/>
      <c r="T105" s="188"/>
      <c r="U105" s="188"/>
      <c r="V105" s="117"/>
      <c r="W105" s="188"/>
      <c r="X105" s="188"/>
      <c r="Y105" s="117"/>
      <c r="Z105" s="188"/>
      <c r="AA105" s="188"/>
      <c r="AB105" s="117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91" t="s">
        <v>278</v>
      </c>
      <c r="AM105" s="23" t="s">
        <v>278</v>
      </c>
      <c r="AN105" s="172"/>
      <c r="AO105" s="23"/>
      <c r="AP105" s="22"/>
      <c r="AR105" s="182">
        <v>74368.879000000001</v>
      </c>
      <c r="AS105" s="182">
        <v>63092.959999999999</v>
      </c>
      <c r="AU105" s="159"/>
    </row>
    <row r="106" spans="1:47" s="182" customFormat="1" ht="28.5" customHeight="1" x14ac:dyDescent="0.3">
      <c r="B106" s="4"/>
      <c r="C106" s="4"/>
      <c r="D106" s="4"/>
      <c r="E106" s="10"/>
      <c r="F106" s="10"/>
      <c r="G106" s="109"/>
      <c r="H106" s="10"/>
      <c r="I106" s="10"/>
      <c r="J106" s="109"/>
      <c r="K106" s="5"/>
      <c r="L106" s="5"/>
      <c r="M106" s="106"/>
      <c r="N106" s="7"/>
      <c r="O106" s="5"/>
      <c r="P106" s="106"/>
      <c r="Q106" s="5"/>
      <c r="R106" s="5"/>
      <c r="S106" s="106"/>
      <c r="T106" s="5"/>
      <c r="U106" s="5"/>
      <c r="V106" s="106"/>
      <c r="W106" s="5"/>
      <c r="X106" s="5"/>
      <c r="Y106" s="106"/>
      <c r="Z106" s="5"/>
      <c r="AA106" s="5"/>
      <c r="AB106" s="106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10"/>
      <c r="AP106" s="10"/>
      <c r="AU106" s="92"/>
    </row>
    <row r="107" spans="1:47" s="182" customFormat="1" ht="103.5" customHeight="1" x14ac:dyDescent="0.5">
      <c r="B107" s="230" t="s">
        <v>306</v>
      </c>
      <c r="C107" s="230"/>
      <c r="D107" s="230"/>
      <c r="E107" s="230"/>
      <c r="F107" s="230"/>
      <c r="G107" s="230"/>
      <c r="H107" s="230"/>
      <c r="I107" s="230"/>
      <c r="J107" s="230"/>
      <c r="K107" s="230"/>
      <c r="L107" s="230"/>
      <c r="M107" s="230"/>
      <c r="N107" s="7"/>
      <c r="O107" s="5"/>
      <c r="P107" s="106"/>
      <c r="Q107" s="5"/>
      <c r="R107" s="5"/>
      <c r="S107" s="106"/>
      <c r="T107" s="5"/>
      <c r="U107" s="5"/>
      <c r="V107" s="106"/>
      <c r="W107" s="5"/>
      <c r="X107" s="5"/>
      <c r="Y107" s="106"/>
      <c r="Z107" s="5"/>
      <c r="AA107" s="5"/>
      <c r="AB107" s="106"/>
      <c r="AC107" s="5"/>
      <c r="AD107" s="5"/>
      <c r="AE107" s="5"/>
      <c r="AF107" s="5"/>
      <c r="AG107" s="5"/>
      <c r="AH107" s="5"/>
      <c r="AI107" s="5"/>
      <c r="AJ107" s="5"/>
      <c r="AK107" s="5"/>
      <c r="AL107" s="23"/>
      <c r="AM107" s="23"/>
      <c r="AN107" s="172" t="s">
        <v>304</v>
      </c>
      <c r="AO107" s="23"/>
      <c r="AP107" s="23"/>
      <c r="AR107" s="182">
        <f>AR105-AS105</f>
        <v>11275.919000000002</v>
      </c>
      <c r="AS107" s="182">
        <f>AR107/AS105</f>
        <v>0.17871913126282238</v>
      </c>
    </row>
    <row r="108" spans="1:47" ht="37.5" customHeight="1" x14ac:dyDescent="0.3">
      <c r="AU108" s="69"/>
    </row>
  </sheetData>
  <sheetProtection selectLockedCells="1" selectUnlockedCells="1"/>
  <dataConsolidate/>
  <mergeCells count="25">
    <mergeCell ref="AJ1:AO1"/>
    <mergeCell ref="AE14:AG14"/>
    <mergeCell ref="V14:X14"/>
    <mergeCell ref="AJ2:AO2"/>
    <mergeCell ref="AB14:AD14"/>
    <mergeCell ref="AJ9:AO9"/>
    <mergeCell ref="B11:AO11"/>
    <mergeCell ref="B12:AO12"/>
    <mergeCell ref="B10:AO10"/>
    <mergeCell ref="S14:U14"/>
    <mergeCell ref="B105:M105"/>
    <mergeCell ref="B107:M107"/>
    <mergeCell ref="A14:A15"/>
    <mergeCell ref="G14:I14"/>
    <mergeCell ref="P14:R14"/>
    <mergeCell ref="D14:F14"/>
    <mergeCell ref="A104:AO104"/>
    <mergeCell ref="AH14:AJ14"/>
    <mergeCell ref="AK14:AM14"/>
    <mergeCell ref="AN14:AO14"/>
    <mergeCell ref="B14:B15"/>
    <mergeCell ref="C14:C15"/>
    <mergeCell ref="M14:O14"/>
    <mergeCell ref="J14:L14"/>
    <mergeCell ref="Y14:AA14"/>
  </mergeCells>
  <phoneticPr fontId="7" type="noConversion"/>
  <pageMargins left="0.27559055118110237" right="0" top="1.1023622047244095" bottom="0.39370078740157483" header="0.35433070866141736" footer="0.23622047244094491"/>
  <pageSetup paperSize="9" scale="38" fitToHeight="0" orientation="landscape" r:id="rId1"/>
  <headerFooter alignWithMargins="0">
    <oddHeader>&amp;C</oddHeader>
    <firstHeader>&amp;C2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80"/>
  <sheetViews>
    <sheetView zoomScaleSheetLayoutView="80" workbookViewId="0">
      <selection activeCell="AE5" sqref="AE5"/>
    </sheetView>
  </sheetViews>
  <sheetFormatPr defaultRowHeight="12" outlineLevelRow="1" outlineLevelCol="1" x14ac:dyDescent="0.2"/>
  <cols>
    <col min="1" max="1" width="7.7109375" style="15" customWidth="1"/>
    <col min="2" max="2" width="38.140625" style="15" customWidth="1"/>
    <col min="3" max="3" width="18.5703125" style="66" hidden="1" customWidth="1" outlineLevel="1"/>
    <col min="4" max="4" width="9.85546875" style="15" customWidth="1" collapsed="1"/>
    <col min="5" max="5" width="9.28515625" style="15" hidden="1" customWidth="1" outlineLevel="1"/>
    <col min="6" max="6" width="10.28515625" style="15" customWidth="1" collapsed="1"/>
    <col min="7" max="7" width="9.7109375" style="15" customWidth="1"/>
    <col min="8" max="8" width="9.140625" style="15" hidden="1" customWidth="1" outlineLevel="1"/>
    <col min="9" max="9" width="9.140625" style="15" customWidth="1" collapsed="1"/>
    <col min="10" max="10" width="9.85546875" style="15" customWidth="1"/>
    <col min="11" max="11" width="9.140625" style="15" hidden="1" customWidth="1" outlineLevel="1"/>
    <col min="12" max="12" width="7.5703125" style="15" customWidth="1" collapsed="1"/>
    <col min="13" max="13" width="9.140625" style="15" customWidth="1"/>
    <col min="14" max="14" width="9.140625" style="15" hidden="1" customWidth="1" outlineLevel="1"/>
    <col min="15" max="15" width="8.5703125" style="15" customWidth="1" collapsed="1"/>
    <col min="16" max="16" width="8.5703125" style="15" customWidth="1"/>
    <col min="17" max="18" width="11.5703125" style="15" customWidth="1"/>
    <col min="19" max="19" width="13.7109375" style="15" hidden="1" customWidth="1" outlineLevel="1"/>
    <col min="20" max="25" width="9.140625" style="15" hidden="1" customWidth="1" outlineLevel="1"/>
    <col min="26" max="26" width="12" style="15" hidden="1" customWidth="1" outlineLevel="1"/>
    <col min="27" max="27" width="12.42578125" style="15" hidden="1" customWidth="1" outlineLevel="1"/>
    <col min="28" max="28" width="10.7109375" style="15" hidden="1" customWidth="1" outlineLevel="1"/>
    <col min="29" max="29" width="9.140625" style="15" hidden="1" customWidth="1" outlineLevel="1"/>
    <col min="30" max="30" width="13.140625" style="15" customWidth="1" collapsed="1"/>
    <col min="31" max="16384" width="9.140625" style="15"/>
  </cols>
  <sheetData>
    <row r="1" spans="1:31" s="31" customFormat="1" ht="41.25" customHeight="1" x14ac:dyDescent="0.3">
      <c r="B1" s="32" t="s">
        <v>29</v>
      </c>
      <c r="C1" s="33">
        <v>4116.9399999999996</v>
      </c>
      <c r="D1" s="34">
        <v>4116.9399999999996</v>
      </c>
      <c r="E1" s="35"/>
      <c r="F1" s="35"/>
      <c r="G1" s="35"/>
      <c r="H1" s="35"/>
      <c r="I1" s="35"/>
      <c r="J1" s="35"/>
      <c r="K1" s="35"/>
      <c r="L1" s="35"/>
      <c r="M1" s="256" t="s">
        <v>268</v>
      </c>
      <c r="N1" s="256"/>
      <c r="O1" s="256"/>
      <c r="P1" s="256"/>
      <c r="Q1" s="256"/>
      <c r="R1" s="176"/>
      <c r="S1" s="36"/>
    </row>
    <row r="2" spans="1:31" s="31" customFormat="1" ht="59.25" customHeight="1" x14ac:dyDescent="0.3">
      <c r="B2" s="32" t="s">
        <v>257</v>
      </c>
      <c r="C2" s="33">
        <v>1712.4</v>
      </c>
      <c r="D2" s="34">
        <v>1712.4</v>
      </c>
      <c r="E2" s="35"/>
      <c r="F2" s="35"/>
      <c r="G2" s="35"/>
      <c r="H2" s="35"/>
      <c r="I2" s="35"/>
      <c r="J2" s="35"/>
      <c r="K2" s="35"/>
      <c r="L2" s="35"/>
      <c r="M2" s="257" t="s">
        <v>266</v>
      </c>
      <c r="N2" s="257"/>
      <c r="O2" s="257"/>
      <c r="P2" s="257"/>
      <c r="Q2" s="257"/>
      <c r="R2" s="177"/>
      <c r="S2" s="36"/>
    </row>
    <row r="3" spans="1:31" s="31" customFormat="1" ht="36.75" customHeight="1" outlineLevel="1" x14ac:dyDescent="0.3">
      <c r="B3" s="37" t="s">
        <v>31</v>
      </c>
      <c r="C3" s="33">
        <v>2500</v>
      </c>
      <c r="D3" s="34">
        <v>2500</v>
      </c>
      <c r="E3" s="35"/>
      <c r="F3" s="35"/>
      <c r="G3" s="35"/>
      <c r="H3" s="35"/>
      <c r="I3" s="35"/>
      <c r="J3" s="35"/>
      <c r="K3" s="35"/>
      <c r="L3" s="35"/>
      <c r="M3" s="258" t="s">
        <v>74</v>
      </c>
      <c r="N3" s="259"/>
      <c r="O3" s="259"/>
      <c r="P3" s="259"/>
      <c r="Q3" s="259"/>
      <c r="R3" s="178"/>
      <c r="S3" s="36"/>
    </row>
    <row r="4" spans="1:31" ht="36.75" customHeight="1" x14ac:dyDescent="0.35">
      <c r="A4" s="250" t="s">
        <v>49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38"/>
      <c r="S4" s="39"/>
    </row>
    <row r="5" spans="1:31" ht="54.75" customHeight="1" x14ac:dyDescent="0.35">
      <c r="A5" s="248" t="s">
        <v>284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40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</row>
    <row r="6" spans="1:31" ht="15.75" customHeight="1" x14ac:dyDescent="0.2"/>
    <row r="7" spans="1:31" s="189" customFormat="1" ht="12.4" customHeight="1" x14ac:dyDescent="0.2">
      <c r="A7" s="247" t="s">
        <v>108</v>
      </c>
      <c r="B7" s="247" t="s">
        <v>21</v>
      </c>
      <c r="C7" s="247" t="s">
        <v>22</v>
      </c>
      <c r="D7" s="247" t="s">
        <v>23</v>
      </c>
      <c r="E7" s="247"/>
      <c r="F7" s="247"/>
      <c r="G7" s="247" t="s">
        <v>24</v>
      </c>
      <c r="H7" s="247"/>
      <c r="I7" s="247"/>
      <c r="J7" s="247" t="s">
        <v>25</v>
      </c>
      <c r="K7" s="247"/>
      <c r="L7" s="247"/>
      <c r="M7" s="247" t="s">
        <v>26</v>
      </c>
      <c r="N7" s="247"/>
      <c r="O7" s="247"/>
      <c r="P7" s="247" t="s">
        <v>296</v>
      </c>
      <c r="Q7" s="247"/>
      <c r="R7" s="41"/>
      <c r="T7" s="243" t="s">
        <v>244</v>
      </c>
      <c r="U7" s="244"/>
      <c r="V7" s="244"/>
      <c r="W7" s="245"/>
      <c r="X7" s="246"/>
      <c r="Y7" s="180"/>
      <c r="Z7" s="180"/>
      <c r="AA7" s="42" t="s">
        <v>245</v>
      </c>
    </row>
    <row r="8" spans="1:31" s="189" customFormat="1" ht="25.5" customHeight="1" x14ac:dyDescent="0.2">
      <c r="A8" s="247"/>
      <c r="B8" s="247"/>
      <c r="C8" s="247"/>
      <c r="D8" s="179" t="s">
        <v>27</v>
      </c>
      <c r="E8" s="179" t="s">
        <v>28</v>
      </c>
      <c r="F8" s="179" t="s">
        <v>18</v>
      </c>
      <c r="G8" s="179" t="s">
        <v>27</v>
      </c>
      <c r="H8" s="179" t="s">
        <v>28</v>
      </c>
      <c r="I8" s="179" t="s">
        <v>18</v>
      </c>
      <c r="J8" s="179" t="s">
        <v>27</v>
      </c>
      <c r="K8" s="179" t="s">
        <v>28</v>
      </c>
      <c r="L8" s="179" t="s">
        <v>18</v>
      </c>
      <c r="M8" s="179" t="s">
        <v>27</v>
      </c>
      <c r="N8" s="179" t="s">
        <v>28</v>
      </c>
      <c r="O8" s="179" t="s">
        <v>18</v>
      </c>
      <c r="P8" s="179" t="s">
        <v>27</v>
      </c>
      <c r="Q8" s="179" t="s">
        <v>18</v>
      </c>
      <c r="R8" s="41"/>
      <c r="T8" s="42">
        <v>2016</v>
      </c>
      <c r="U8" s="42">
        <v>2017</v>
      </c>
      <c r="V8" s="42">
        <v>2018</v>
      </c>
      <c r="W8" s="42">
        <v>2019</v>
      </c>
      <c r="X8" s="42">
        <v>2020</v>
      </c>
      <c r="Y8" s="42">
        <v>2021</v>
      </c>
      <c r="Z8" s="42">
        <v>2023</v>
      </c>
      <c r="AA8" s="42">
        <v>2024</v>
      </c>
    </row>
    <row r="9" spans="1:31" s="189" customFormat="1" ht="25.5" customHeight="1" x14ac:dyDescent="0.2">
      <c r="A9" s="179">
        <v>1</v>
      </c>
      <c r="B9" s="43">
        <v>2</v>
      </c>
      <c r="C9" s="44">
        <v>2</v>
      </c>
      <c r="D9" s="179">
        <v>3</v>
      </c>
      <c r="E9" s="179">
        <v>4</v>
      </c>
      <c r="F9" s="179">
        <v>4</v>
      </c>
      <c r="G9" s="179">
        <v>5</v>
      </c>
      <c r="H9" s="179">
        <v>7</v>
      </c>
      <c r="I9" s="179">
        <v>6</v>
      </c>
      <c r="J9" s="179">
        <v>7</v>
      </c>
      <c r="K9" s="179">
        <v>10</v>
      </c>
      <c r="L9" s="179">
        <v>8</v>
      </c>
      <c r="M9" s="179">
        <v>9</v>
      </c>
      <c r="N9" s="179">
        <v>13</v>
      </c>
      <c r="O9" s="179">
        <v>10</v>
      </c>
      <c r="P9" s="179">
        <v>11</v>
      </c>
      <c r="Q9" s="179">
        <v>12</v>
      </c>
      <c r="R9" s="41"/>
      <c r="T9" s="45"/>
      <c r="U9" s="45"/>
      <c r="V9" s="42"/>
      <c r="W9" s="42"/>
      <c r="X9" s="42"/>
      <c r="Y9" s="42"/>
      <c r="Z9" s="42"/>
      <c r="AA9" s="42"/>
    </row>
    <row r="10" spans="1:31" ht="25.5" customHeight="1" x14ac:dyDescent="0.2">
      <c r="A10" s="46">
        <v>1</v>
      </c>
      <c r="B10" s="47" t="s">
        <v>60</v>
      </c>
      <c r="C10" s="179" t="s">
        <v>29</v>
      </c>
      <c r="D10" s="48">
        <v>263</v>
      </c>
      <c r="E10" s="48">
        <v>4619.18</v>
      </c>
      <c r="F10" s="48">
        <f>ROUND((D10*E10/1000),3)</f>
        <v>1214.8440000000001</v>
      </c>
      <c r="G10" s="48">
        <v>20.5</v>
      </c>
      <c r="H10" s="48">
        <v>4619.18</v>
      </c>
      <c r="I10" s="48">
        <f>ROUND((G10*H10/1000),3)</f>
        <v>94.692999999999998</v>
      </c>
      <c r="J10" s="48">
        <v>0</v>
      </c>
      <c r="K10" s="48">
        <v>4933.55</v>
      </c>
      <c r="L10" s="48">
        <f>ROUND((J10*K10/1000),3)</f>
        <v>0</v>
      </c>
      <c r="M10" s="48">
        <v>171</v>
      </c>
      <c r="N10" s="48">
        <v>4933.55</v>
      </c>
      <c r="O10" s="48">
        <f>ROUND((M10*N10/1000),3)</f>
        <v>843.63699999999994</v>
      </c>
      <c r="P10" s="48">
        <f>D10+G10+J10+M10</f>
        <v>454.5</v>
      </c>
      <c r="Q10" s="48">
        <f>F10+I10+L10+O10</f>
        <v>2153.174</v>
      </c>
      <c r="R10" s="49"/>
      <c r="T10" s="50">
        <v>502.7</v>
      </c>
      <c r="U10" s="50">
        <v>469.9</v>
      </c>
      <c r="V10" s="50">
        <v>513.4</v>
      </c>
      <c r="W10" s="50">
        <v>457.9</v>
      </c>
      <c r="X10" s="50">
        <v>435.7</v>
      </c>
      <c r="Y10" s="50">
        <v>478.4</v>
      </c>
      <c r="Z10" s="50">
        <f>ROUND(((U10+V10+W10+X10+Y10)/5),1)</f>
        <v>471.1</v>
      </c>
      <c r="AA10" s="50">
        <v>425.6</v>
      </c>
      <c r="AB10" s="79">
        <f>P10-AA10</f>
        <v>28.899999999999977</v>
      </c>
    </row>
    <row r="11" spans="1:31" s="13" customFormat="1" ht="41.25" customHeight="1" x14ac:dyDescent="0.2">
      <c r="A11" s="46">
        <v>2</v>
      </c>
      <c r="B11" s="47" t="s">
        <v>51</v>
      </c>
      <c r="C11" s="179"/>
      <c r="D11" s="48">
        <f>ROUND(SUM(D12:D59),2)</f>
        <v>6728.44</v>
      </c>
      <c r="E11" s="48"/>
      <c r="F11" s="48">
        <f>ROUND(SUM(F12:F59),3)</f>
        <v>30392.260999999999</v>
      </c>
      <c r="G11" s="48">
        <f>ROUND(SUM(G12:G59),2)</f>
        <v>1003.14</v>
      </c>
      <c r="H11" s="48"/>
      <c r="I11" s="48">
        <f>ROUND(SUM(I12:I59),3)</f>
        <v>4561.9870000000001</v>
      </c>
      <c r="J11" s="48">
        <f>ROUND(SUM(J12:J59),2)</f>
        <v>0</v>
      </c>
      <c r="K11" s="48"/>
      <c r="L11" s="48">
        <f>ROUND(SUM(L12:L59),3)</f>
        <v>0</v>
      </c>
      <c r="M11" s="48">
        <f>ROUND(SUM(M12:M59),2)</f>
        <v>4545.17</v>
      </c>
      <c r="N11" s="48"/>
      <c r="O11" s="48">
        <f>ROUND(SUM(O12:O59),3)</f>
        <v>22003.815999999999</v>
      </c>
      <c r="P11" s="48">
        <f>D11+G11+J11+M11</f>
        <v>12276.75</v>
      </c>
      <c r="Q11" s="48">
        <f>ROUND(SUM(Q12:Q59),2)</f>
        <v>56958.06</v>
      </c>
      <c r="R11" s="49"/>
      <c r="S11" s="15"/>
      <c r="T11" s="51"/>
      <c r="U11" s="51"/>
      <c r="V11" s="52"/>
      <c r="W11" s="50"/>
      <c r="X11" s="50"/>
      <c r="Y11" s="50"/>
      <c r="Z11" s="50">
        <f t="shared" ref="Z11:Z59" si="0">ROUND(((U11+V11+W11+X11+Y11)/5),1)</f>
        <v>0</v>
      </c>
      <c r="AA11" s="50"/>
      <c r="AB11" s="79">
        <f t="shared" ref="AB11:AB74" si="1">P11-AA11</f>
        <v>12276.75</v>
      </c>
    </row>
    <row r="12" spans="1:31" s="13" customFormat="1" ht="20.25" customHeight="1" x14ac:dyDescent="0.2">
      <c r="A12" s="46" t="s">
        <v>109</v>
      </c>
      <c r="B12" s="47" t="s">
        <v>339</v>
      </c>
      <c r="C12" s="43" t="s">
        <v>29</v>
      </c>
      <c r="D12" s="53">
        <v>56</v>
      </c>
      <c r="E12" s="48">
        <v>4619.18</v>
      </c>
      <c r="F12" s="48">
        <f>ROUND((D12*E12/1000),3)</f>
        <v>258.67399999999998</v>
      </c>
      <c r="G12" s="48">
        <v>6.6</v>
      </c>
      <c r="H12" s="48">
        <v>4619.18</v>
      </c>
      <c r="I12" s="48">
        <f>ROUND((G12*H12/1000),3)</f>
        <v>30.486999999999998</v>
      </c>
      <c r="J12" s="48">
        <v>0</v>
      </c>
      <c r="K12" s="48">
        <v>4933.55</v>
      </c>
      <c r="L12" s="48">
        <f>ROUND((J12*K12/1000),3)</f>
        <v>0</v>
      </c>
      <c r="M12" s="48">
        <v>32.799999999999997</v>
      </c>
      <c r="N12" s="48">
        <v>4933.55</v>
      </c>
      <c r="O12" s="48">
        <f>ROUND((M12*N12/1000),3)</f>
        <v>161.82</v>
      </c>
      <c r="P12" s="48">
        <f>D12+G12+J12+M12</f>
        <v>95.4</v>
      </c>
      <c r="Q12" s="48">
        <f t="shared" ref="Q12:Q42" si="2">F12+I12+L12+O12</f>
        <v>450.98099999999999</v>
      </c>
      <c r="R12" s="49"/>
      <c r="S12" s="15"/>
      <c r="T12" s="54">
        <v>98.6</v>
      </c>
      <c r="U12" s="50">
        <v>76.599999999999994</v>
      </c>
      <c r="V12" s="55">
        <v>103.9</v>
      </c>
      <c r="W12" s="56">
        <v>87.8</v>
      </c>
      <c r="X12" s="57">
        <v>87.6</v>
      </c>
      <c r="Y12" s="57">
        <v>95.4</v>
      </c>
      <c r="Z12" s="50">
        <f t="shared" si="0"/>
        <v>90.3</v>
      </c>
      <c r="AA12" s="50"/>
      <c r="AB12" s="79">
        <f t="shared" si="1"/>
        <v>95.4</v>
      </c>
    </row>
    <row r="13" spans="1:31" s="13" customFormat="1" ht="20.25" customHeight="1" x14ac:dyDescent="0.2">
      <c r="A13" s="46" t="s">
        <v>110</v>
      </c>
      <c r="B13" s="47" t="s">
        <v>340</v>
      </c>
      <c r="C13" s="43" t="s">
        <v>29</v>
      </c>
      <c r="D13" s="53">
        <v>152.1</v>
      </c>
      <c r="E13" s="48">
        <v>4619.18</v>
      </c>
      <c r="F13" s="48">
        <f t="shared" ref="F13:F59" si="3">ROUND((D13*E13/1000),3)</f>
        <v>702.577</v>
      </c>
      <c r="G13" s="48">
        <v>19.399999999999999</v>
      </c>
      <c r="H13" s="48">
        <v>4619.18</v>
      </c>
      <c r="I13" s="48">
        <f t="shared" ref="I13:I59" si="4">ROUND((G13*H13/1000),3)</f>
        <v>89.611999999999995</v>
      </c>
      <c r="J13" s="48">
        <v>0</v>
      </c>
      <c r="K13" s="48">
        <v>4933.55</v>
      </c>
      <c r="L13" s="48">
        <f t="shared" ref="L13:L59" si="5">ROUND((J13*K13/1000),3)</f>
        <v>0</v>
      </c>
      <c r="M13" s="48">
        <v>100.9</v>
      </c>
      <c r="N13" s="48">
        <v>4933.55</v>
      </c>
      <c r="O13" s="48">
        <f t="shared" ref="O13:O59" si="6">ROUND((M13*N13/1000),3)</f>
        <v>497.79500000000002</v>
      </c>
      <c r="P13" s="48">
        <f>D13+G13+J13+M13</f>
        <v>272.39999999999998</v>
      </c>
      <c r="Q13" s="48">
        <f>F13+I13+L13+O13</f>
        <v>1289.9839999999999</v>
      </c>
      <c r="R13" s="49"/>
      <c r="S13" s="15"/>
      <c r="T13" s="54">
        <v>270.8</v>
      </c>
      <c r="U13" s="50">
        <v>222.3</v>
      </c>
      <c r="V13" s="55">
        <v>297.7</v>
      </c>
      <c r="W13" s="56">
        <v>273.60000000000002</v>
      </c>
      <c r="X13" s="57">
        <v>248.79999999999998</v>
      </c>
      <c r="Y13" s="57">
        <v>272.39999999999998</v>
      </c>
      <c r="Z13" s="50">
        <f t="shared" si="0"/>
        <v>263</v>
      </c>
      <c r="AA13" s="50"/>
      <c r="AB13" s="79">
        <f t="shared" si="1"/>
        <v>272.39999999999998</v>
      </c>
    </row>
    <row r="14" spans="1:31" s="13" customFormat="1" ht="20.25" customHeight="1" x14ac:dyDescent="0.2">
      <c r="A14" s="46" t="s">
        <v>111</v>
      </c>
      <c r="B14" s="47" t="s">
        <v>103</v>
      </c>
      <c r="C14" s="43" t="s">
        <v>29</v>
      </c>
      <c r="D14" s="53">
        <v>82</v>
      </c>
      <c r="E14" s="48">
        <v>4619.18</v>
      </c>
      <c r="F14" s="48">
        <f t="shared" si="3"/>
        <v>378.77300000000002</v>
      </c>
      <c r="G14" s="48">
        <v>13</v>
      </c>
      <c r="H14" s="48">
        <v>4619.18</v>
      </c>
      <c r="I14" s="48">
        <f t="shared" si="4"/>
        <v>60.048999999999999</v>
      </c>
      <c r="J14" s="48">
        <v>0</v>
      </c>
      <c r="K14" s="48">
        <v>4933.55</v>
      </c>
      <c r="L14" s="48">
        <f t="shared" si="5"/>
        <v>0</v>
      </c>
      <c r="M14" s="48">
        <v>55.3</v>
      </c>
      <c r="N14" s="48">
        <v>4933.55</v>
      </c>
      <c r="O14" s="48">
        <f t="shared" si="6"/>
        <v>272.82499999999999</v>
      </c>
      <c r="P14" s="48">
        <f t="shared" ref="P14:P59" si="7">D14+G14+J14+M14</f>
        <v>150.30000000000001</v>
      </c>
      <c r="Q14" s="48">
        <f t="shared" si="2"/>
        <v>711.64699999999993</v>
      </c>
      <c r="R14" s="49"/>
      <c r="S14" s="15"/>
      <c r="T14" s="54">
        <v>151.4</v>
      </c>
      <c r="U14" s="50">
        <v>119.6</v>
      </c>
      <c r="V14" s="55">
        <v>147.69999999999999</v>
      </c>
      <c r="W14" s="56">
        <v>151.10000000000002</v>
      </c>
      <c r="X14" s="57">
        <v>136.10000000000002</v>
      </c>
      <c r="Y14" s="57">
        <v>150.30000000000001</v>
      </c>
      <c r="Z14" s="50">
        <f t="shared" si="0"/>
        <v>141</v>
      </c>
      <c r="AA14" s="50"/>
      <c r="AB14" s="79">
        <f t="shared" si="1"/>
        <v>150.30000000000001</v>
      </c>
    </row>
    <row r="15" spans="1:31" s="13" customFormat="1" ht="20.25" customHeight="1" x14ac:dyDescent="0.2">
      <c r="A15" s="46" t="s">
        <v>112</v>
      </c>
      <c r="B15" s="47" t="s">
        <v>341</v>
      </c>
      <c r="C15" s="43" t="s">
        <v>29</v>
      </c>
      <c r="D15" s="53">
        <v>52.4</v>
      </c>
      <c r="E15" s="48">
        <v>4619.18</v>
      </c>
      <c r="F15" s="48">
        <f t="shared" si="3"/>
        <v>242.04499999999999</v>
      </c>
      <c r="G15" s="48">
        <v>13.5</v>
      </c>
      <c r="H15" s="48">
        <v>4619.18</v>
      </c>
      <c r="I15" s="48">
        <f t="shared" si="4"/>
        <v>62.359000000000002</v>
      </c>
      <c r="J15" s="48">
        <v>0</v>
      </c>
      <c r="K15" s="48">
        <v>4933.55</v>
      </c>
      <c r="L15" s="48">
        <f t="shared" si="5"/>
        <v>0</v>
      </c>
      <c r="M15" s="48">
        <v>29.599999999999998</v>
      </c>
      <c r="N15" s="48">
        <v>4933.55</v>
      </c>
      <c r="O15" s="48">
        <f t="shared" si="6"/>
        <v>146.03299999999999</v>
      </c>
      <c r="P15" s="48">
        <f t="shared" si="7"/>
        <v>95.5</v>
      </c>
      <c r="Q15" s="48">
        <f t="shared" si="2"/>
        <v>450.43700000000001</v>
      </c>
      <c r="R15" s="49"/>
      <c r="S15" s="15"/>
      <c r="T15" s="54">
        <v>92.4</v>
      </c>
      <c r="U15" s="50">
        <v>73.599999999999994</v>
      </c>
      <c r="V15" s="55">
        <v>110.4</v>
      </c>
      <c r="W15" s="56">
        <v>133.4</v>
      </c>
      <c r="X15" s="57">
        <v>83.300000000000011</v>
      </c>
      <c r="Y15" s="57">
        <v>83.6</v>
      </c>
      <c r="Z15" s="50">
        <f t="shared" si="0"/>
        <v>96.9</v>
      </c>
      <c r="AA15" s="50"/>
      <c r="AB15" s="79">
        <f t="shared" si="1"/>
        <v>95.5</v>
      </c>
    </row>
    <row r="16" spans="1:31" s="13" customFormat="1" ht="20.25" customHeight="1" x14ac:dyDescent="0.2">
      <c r="A16" s="46" t="s">
        <v>113</v>
      </c>
      <c r="B16" s="47" t="s">
        <v>342</v>
      </c>
      <c r="C16" s="43" t="s">
        <v>29</v>
      </c>
      <c r="D16" s="53">
        <v>73.5</v>
      </c>
      <c r="E16" s="48">
        <v>4619.18</v>
      </c>
      <c r="F16" s="48">
        <f t="shared" si="3"/>
        <v>339.51</v>
      </c>
      <c r="G16" s="48">
        <v>7.8</v>
      </c>
      <c r="H16" s="48">
        <v>4619.18</v>
      </c>
      <c r="I16" s="48">
        <f t="shared" si="4"/>
        <v>36.03</v>
      </c>
      <c r="J16" s="48">
        <v>0</v>
      </c>
      <c r="K16" s="48">
        <v>4933.55</v>
      </c>
      <c r="L16" s="48">
        <f t="shared" si="5"/>
        <v>0</v>
      </c>
      <c r="M16" s="48">
        <v>60.7</v>
      </c>
      <c r="N16" s="48">
        <v>4933.55</v>
      </c>
      <c r="O16" s="48">
        <f t="shared" si="6"/>
        <v>299.46600000000001</v>
      </c>
      <c r="P16" s="48">
        <f t="shared" si="7"/>
        <v>142</v>
      </c>
      <c r="Q16" s="48">
        <f t="shared" si="2"/>
        <v>675.00599999999997</v>
      </c>
      <c r="R16" s="49"/>
      <c r="S16" s="15"/>
      <c r="T16" s="54">
        <v>146.30000000000001</v>
      </c>
      <c r="U16" s="50">
        <v>142.6</v>
      </c>
      <c r="V16" s="55">
        <v>156.69999999999999</v>
      </c>
      <c r="W16" s="56">
        <v>136.1</v>
      </c>
      <c r="X16" s="57">
        <v>137.69999999999999</v>
      </c>
      <c r="Y16" s="57">
        <v>136.9</v>
      </c>
      <c r="Z16" s="50">
        <f t="shared" si="0"/>
        <v>142</v>
      </c>
      <c r="AA16" s="50"/>
      <c r="AB16" s="79">
        <f t="shared" si="1"/>
        <v>142</v>
      </c>
    </row>
    <row r="17" spans="1:28" s="13" customFormat="1" ht="20.25" customHeight="1" x14ac:dyDescent="0.2">
      <c r="A17" s="46" t="s">
        <v>114</v>
      </c>
      <c r="B17" s="47" t="s">
        <v>343</v>
      </c>
      <c r="C17" s="43" t="s">
        <v>29</v>
      </c>
      <c r="D17" s="53">
        <v>49.9</v>
      </c>
      <c r="E17" s="48">
        <v>4619.18</v>
      </c>
      <c r="F17" s="48">
        <f t="shared" si="3"/>
        <v>230.49700000000001</v>
      </c>
      <c r="G17" s="48">
        <v>6</v>
      </c>
      <c r="H17" s="48">
        <v>4619.18</v>
      </c>
      <c r="I17" s="48">
        <f t="shared" si="4"/>
        <v>27.715</v>
      </c>
      <c r="J17" s="48">
        <v>0</v>
      </c>
      <c r="K17" s="48">
        <v>4933.55</v>
      </c>
      <c r="L17" s="48">
        <f t="shared" si="5"/>
        <v>0</v>
      </c>
      <c r="M17" s="48">
        <v>43.3</v>
      </c>
      <c r="N17" s="48">
        <v>4933.55</v>
      </c>
      <c r="O17" s="48">
        <f t="shared" si="6"/>
        <v>213.62299999999999</v>
      </c>
      <c r="P17" s="48">
        <f t="shared" si="7"/>
        <v>99.199999999999989</v>
      </c>
      <c r="Q17" s="48">
        <f t="shared" si="2"/>
        <v>471.83499999999998</v>
      </c>
      <c r="R17" s="49"/>
      <c r="S17" s="15"/>
      <c r="T17" s="54">
        <v>105.4</v>
      </c>
      <c r="U17" s="50">
        <v>102.7</v>
      </c>
      <c r="V17" s="55">
        <v>95.9</v>
      </c>
      <c r="W17" s="56">
        <v>90.800000000000011</v>
      </c>
      <c r="X17" s="57">
        <v>93.1</v>
      </c>
      <c r="Y17" s="57">
        <v>88.6</v>
      </c>
      <c r="Z17" s="50">
        <f t="shared" si="0"/>
        <v>94.2</v>
      </c>
      <c r="AA17" s="50"/>
      <c r="AB17" s="79">
        <f t="shared" si="1"/>
        <v>99.199999999999989</v>
      </c>
    </row>
    <row r="18" spans="1:28" s="13" customFormat="1" ht="20.25" customHeight="1" x14ac:dyDescent="0.2">
      <c r="A18" s="46" t="s">
        <v>115</v>
      </c>
      <c r="B18" s="47" t="s">
        <v>344</v>
      </c>
      <c r="C18" s="43" t="s">
        <v>29</v>
      </c>
      <c r="D18" s="53">
        <v>217.89999999999998</v>
      </c>
      <c r="E18" s="48">
        <v>4619.18</v>
      </c>
      <c r="F18" s="48">
        <f t="shared" si="3"/>
        <v>1006.519</v>
      </c>
      <c r="G18" s="53">
        <v>15.4</v>
      </c>
      <c r="H18" s="48">
        <v>4619.18</v>
      </c>
      <c r="I18" s="48">
        <f t="shared" si="4"/>
        <v>71.135000000000005</v>
      </c>
      <c r="J18" s="53">
        <v>0</v>
      </c>
      <c r="K18" s="48">
        <v>4933.55</v>
      </c>
      <c r="L18" s="48">
        <f t="shared" si="5"/>
        <v>0</v>
      </c>
      <c r="M18" s="53">
        <v>123.5</v>
      </c>
      <c r="N18" s="48">
        <v>4933.55</v>
      </c>
      <c r="O18" s="48">
        <f t="shared" si="6"/>
        <v>609.29300000000001</v>
      </c>
      <c r="P18" s="48">
        <f t="shared" si="7"/>
        <v>356.79999999999995</v>
      </c>
      <c r="Q18" s="48">
        <f t="shared" si="2"/>
        <v>1686.9470000000001</v>
      </c>
      <c r="R18" s="49"/>
      <c r="S18" s="15"/>
      <c r="T18" s="54">
        <v>544.70000000000005</v>
      </c>
      <c r="U18" s="50">
        <v>445.2</v>
      </c>
      <c r="V18" s="55">
        <v>355.6</v>
      </c>
      <c r="W18" s="56">
        <v>302.7</v>
      </c>
      <c r="X18" s="57">
        <v>309.70000000000005</v>
      </c>
      <c r="Y18" s="57">
        <v>333.2</v>
      </c>
      <c r="Z18" s="50">
        <f t="shared" si="0"/>
        <v>349.3</v>
      </c>
      <c r="AA18" s="50"/>
      <c r="AB18" s="79">
        <f t="shared" si="1"/>
        <v>356.79999999999995</v>
      </c>
    </row>
    <row r="19" spans="1:28" s="13" customFormat="1" ht="20.25" customHeight="1" x14ac:dyDescent="0.2">
      <c r="A19" s="46" t="s">
        <v>116</v>
      </c>
      <c r="B19" s="47" t="s">
        <v>345</v>
      </c>
      <c r="C19" s="43" t="s">
        <v>29</v>
      </c>
      <c r="D19" s="53">
        <v>114.2</v>
      </c>
      <c r="E19" s="48">
        <v>4619.18</v>
      </c>
      <c r="F19" s="48">
        <f t="shared" si="3"/>
        <v>527.51</v>
      </c>
      <c r="G19" s="53">
        <v>5.9</v>
      </c>
      <c r="H19" s="48">
        <v>4619.18</v>
      </c>
      <c r="I19" s="48">
        <f t="shared" si="4"/>
        <v>27.253</v>
      </c>
      <c r="J19" s="53">
        <v>0</v>
      </c>
      <c r="K19" s="48">
        <v>4933.55</v>
      </c>
      <c r="L19" s="48">
        <f t="shared" si="5"/>
        <v>0</v>
      </c>
      <c r="M19" s="53">
        <v>50.7</v>
      </c>
      <c r="N19" s="48">
        <v>4933.55</v>
      </c>
      <c r="O19" s="48">
        <f t="shared" si="6"/>
        <v>250.131</v>
      </c>
      <c r="P19" s="48">
        <f t="shared" si="7"/>
        <v>170.8</v>
      </c>
      <c r="Q19" s="48">
        <f>F19+I19+L19+O19</f>
        <v>804.89400000000001</v>
      </c>
      <c r="R19" s="49"/>
      <c r="S19" s="15"/>
      <c r="T19" s="54"/>
      <c r="U19" s="50">
        <v>34.4</v>
      </c>
      <c r="V19" s="55">
        <v>208</v>
      </c>
      <c r="W19" s="56">
        <v>182.9</v>
      </c>
      <c r="X19" s="57">
        <v>181.10000000000002</v>
      </c>
      <c r="Y19" s="57">
        <v>181.5</v>
      </c>
      <c r="Z19" s="50">
        <f t="shared" si="0"/>
        <v>157.6</v>
      </c>
      <c r="AA19" s="50"/>
      <c r="AB19" s="79">
        <f t="shared" si="1"/>
        <v>170.8</v>
      </c>
    </row>
    <row r="20" spans="1:28" s="13" customFormat="1" ht="21.75" customHeight="1" x14ac:dyDescent="0.2">
      <c r="A20" s="46" t="s">
        <v>117</v>
      </c>
      <c r="B20" s="47" t="s">
        <v>346</v>
      </c>
      <c r="C20" s="43" t="s">
        <v>29</v>
      </c>
      <c r="D20" s="53">
        <v>180.7</v>
      </c>
      <c r="E20" s="48">
        <v>4619.18</v>
      </c>
      <c r="F20" s="48">
        <f t="shared" si="3"/>
        <v>834.68600000000004</v>
      </c>
      <c r="G20" s="48">
        <v>14.4</v>
      </c>
      <c r="H20" s="48">
        <v>4619.18</v>
      </c>
      <c r="I20" s="48">
        <f t="shared" si="4"/>
        <v>66.516000000000005</v>
      </c>
      <c r="J20" s="48">
        <v>0</v>
      </c>
      <c r="K20" s="48">
        <v>4933.55</v>
      </c>
      <c r="L20" s="48">
        <f t="shared" si="5"/>
        <v>0</v>
      </c>
      <c r="M20" s="48">
        <v>181.9</v>
      </c>
      <c r="N20" s="48">
        <v>4933.55</v>
      </c>
      <c r="O20" s="48">
        <f t="shared" si="6"/>
        <v>897.41300000000001</v>
      </c>
      <c r="P20" s="48">
        <f t="shared" si="7"/>
        <v>377</v>
      </c>
      <c r="Q20" s="48">
        <f t="shared" si="2"/>
        <v>1798.615</v>
      </c>
      <c r="R20" s="49"/>
      <c r="S20" s="15"/>
      <c r="T20" s="54">
        <v>355.6</v>
      </c>
      <c r="U20" s="50">
        <v>251.3</v>
      </c>
      <c r="V20" s="55">
        <v>316.8</v>
      </c>
      <c r="W20" s="56">
        <v>320.3</v>
      </c>
      <c r="X20" s="57">
        <v>312.8</v>
      </c>
      <c r="Y20" s="57">
        <v>337.9</v>
      </c>
      <c r="Z20" s="50">
        <f t="shared" si="0"/>
        <v>307.8</v>
      </c>
      <c r="AA20" s="50"/>
      <c r="AB20" s="79">
        <f t="shared" si="1"/>
        <v>377</v>
      </c>
    </row>
    <row r="21" spans="1:28" s="13" customFormat="1" ht="19.5" customHeight="1" x14ac:dyDescent="0.2">
      <c r="A21" s="46" t="s">
        <v>118</v>
      </c>
      <c r="B21" s="47" t="s">
        <v>347</v>
      </c>
      <c r="C21" s="43" t="s">
        <v>29</v>
      </c>
      <c r="D21" s="53">
        <v>86.1</v>
      </c>
      <c r="E21" s="48">
        <v>2082.7600000000002</v>
      </c>
      <c r="F21" s="48">
        <f t="shared" si="3"/>
        <v>179.32599999999999</v>
      </c>
      <c r="G21" s="48">
        <v>12.8</v>
      </c>
      <c r="H21" s="48">
        <v>2082.7600000000002</v>
      </c>
      <c r="I21" s="48">
        <f t="shared" si="4"/>
        <v>26.658999999999999</v>
      </c>
      <c r="J21" s="48">
        <v>0</v>
      </c>
      <c r="K21" s="48">
        <v>2635.28</v>
      </c>
      <c r="L21" s="48">
        <f t="shared" si="5"/>
        <v>0</v>
      </c>
      <c r="M21" s="48">
        <v>72.400000000000006</v>
      </c>
      <c r="N21" s="48">
        <v>2635.28</v>
      </c>
      <c r="O21" s="48">
        <f t="shared" si="6"/>
        <v>190.79400000000001</v>
      </c>
      <c r="P21" s="48">
        <f t="shared" si="7"/>
        <v>171.3</v>
      </c>
      <c r="Q21" s="48">
        <f t="shared" si="2"/>
        <v>396.779</v>
      </c>
      <c r="R21" s="49"/>
      <c r="S21" s="15"/>
      <c r="T21" s="54">
        <v>92.149000000000001</v>
      </c>
      <c r="U21" s="50">
        <v>98.78</v>
      </c>
      <c r="V21" s="55">
        <v>145.62</v>
      </c>
      <c r="W21" s="56">
        <v>108.55</v>
      </c>
      <c r="X21" s="57">
        <v>140.39999999999998</v>
      </c>
      <c r="Y21" s="57">
        <v>151.30000000000001</v>
      </c>
      <c r="Z21" s="50">
        <f t="shared" si="0"/>
        <v>128.9</v>
      </c>
      <c r="AA21" s="50"/>
      <c r="AB21" s="79">
        <f t="shared" si="1"/>
        <v>171.3</v>
      </c>
    </row>
    <row r="22" spans="1:28" s="13" customFormat="1" ht="21.75" customHeight="1" x14ac:dyDescent="0.2">
      <c r="A22" s="46" t="s">
        <v>119</v>
      </c>
      <c r="B22" s="47" t="s">
        <v>348</v>
      </c>
      <c r="C22" s="43" t="s">
        <v>29</v>
      </c>
      <c r="D22" s="53">
        <v>40.5</v>
      </c>
      <c r="E22" s="48">
        <v>4619.18</v>
      </c>
      <c r="F22" s="48">
        <f t="shared" si="3"/>
        <v>187.077</v>
      </c>
      <c r="G22" s="48">
        <v>4.5999999999999996</v>
      </c>
      <c r="H22" s="48">
        <v>4619.18</v>
      </c>
      <c r="I22" s="48">
        <f t="shared" si="4"/>
        <v>21.248000000000001</v>
      </c>
      <c r="J22" s="48">
        <v>0</v>
      </c>
      <c r="K22" s="48">
        <v>4933.55</v>
      </c>
      <c r="L22" s="48">
        <f t="shared" si="5"/>
        <v>0</v>
      </c>
      <c r="M22" s="48">
        <v>27.5</v>
      </c>
      <c r="N22" s="48">
        <v>4933.55</v>
      </c>
      <c r="O22" s="48">
        <f t="shared" si="6"/>
        <v>135.673</v>
      </c>
      <c r="P22" s="48">
        <f t="shared" si="7"/>
        <v>72.599999999999994</v>
      </c>
      <c r="Q22" s="48">
        <f t="shared" si="2"/>
        <v>343.99799999999999</v>
      </c>
      <c r="R22" s="49"/>
      <c r="S22" s="15"/>
      <c r="T22" s="54">
        <v>64.400000000000006</v>
      </c>
      <c r="U22" s="50">
        <v>71.599999999999994</v>
      </c>
      <c r="V22" s="55">
        <v>76.5</v>
      </c>
      <c r="W22" s="56">
        <v>61.2</v>
      </c>
      <c r="X22" s="57">
        <v>62.699999999999996</v>
      </c>
      <c r="Y22" s="57">
        <v>64.400000000000006</v>
      </c>
      <c r="Z22" s="50">
        <f t="shared" si="0"/>
        <v>67.3</v>
      </c>
      <c r="AA22" s="50"/>
      <c r="AB22" s="79">
        <f t="shared" si="1"/>
        <v>72.599999999999994</v>
      </c>
    </row>
    <row r="23" spans="1:28" s="13" customFormat="1" ht="24" customHeight="1" x14ac:dyDescent="0.2">
      <c r="A23" s="46" t="s">
        <v>120</v>
      </c>
      <c r="B23" s="47" t="s">
        <v>349</v>
      </c>
      <c r="C23" s="43" t="s">
        <v>29</v>
      </c>
      <c r="D23" s="53">
        <v>45</v>
      </c>
      <c r="E23" s="48">
        <v>4619.18</v>
      </c>
      <c r="F23" s="48">
        <f t="shared" si="3"/>
        <v>207.863</v>
      </c>
      <c r="G23" s="48">
        <v>6.6</v>
      </c>
      <c r="H23" s="48">
        <v>4619.18</v>
      </c>
      <c r="I23" s="48">
        <f t="shared" si="4"/>
        <v>30.486999999999998</v>
      </c>
      <c r="J23" s="48">
        <v>0</v>
      </c>
      <c r="K23" s="48">
        <v>4933.55</v>
      </c>
      <c r="L23" s="48">
        <f t="shared" si="5"/>
        <v>0</v>
      </c>
      <c r="M23" s="48">
        <v>28.4</v>
      </c>
      <c r="N23" s="48">
        <v>4933.55</v>
      </c>
      <c r="O23" s="48">
        <f t="shared" si="6"/>
        <v>140.113</v>
      </c>
      <c r="P23" s="48">
        <f t="shared" si="7"/>
        <v>80</v>
      </c>
      <c r="Q23" s="48">
        <f t="shared" si="2"/>
        <v>378.46299999999997</v>
      </c>
      <c r="R23" s="49"/>
      <c r="S23" s="15"/>
      <c r="T23" s="54">
        <v>83.4</v>
      </c>
      <c r="U23" s="50">
        <v>82.6</v>
      </c>
      <c r="V23" s="55">
        <v>87.3</v>
      </c>
      <c r="W23" s="56">
        <v>72.8</v>
      </c>
      <c r="X23" s="57">
        <v>75.8</v>
      </c>
      <c r="Y23" s="57">
        <v>80</v>
      </c>
      <c r="Z23" s="50">
        <f t="shared" si="0"/>
        <v>79.7</v>
      </c>
      <c r="AA23" s="50"/>
      <c r="AB23" s="79">
        <f t="shared" si="1"/>
        <v>80</v>
      </c>
    </row>
    <row r="24" spans="1:28" s="13" customFormat="1" ht="26.25" customHeight="1" x14ac:dyDescent="0.2">
      <c r="A24" s="46" t="s">
        <v>121</v>
      </c>
      <c r="B24" s="47" t="s">
        <v>350</v>
      </c>
      <c r="C24" s="43" t="s">
        <v>29</v>
      </c>
      <c r="D24" s="53">
        <v>104.1</v>
      </c>
      <c r="E24" s="48">
        <v>4619.18</v>
      </c>
      <c r="F24" s="48">
        <f t="shared" si="3"/>
        <v>480.85700000000003</v>
      </c>
      <c r="G24" s="48">
        <v>14.1</v>
      </c>
      <c r="H24" s="48">
        <v>4619.18</v>
      </c>
      <c r="I24" s="48">
        <f t="shared" si="4"/>
        <v>65.13</v>
      </c>
      <c r="J24" s="48">
        <v>0</v>
      </c>
      <c r="K24" s="48">
        <v>4933.55</v>
      </c>
      <c r="L24" s="48">
        <f t="shared" si="5"/>
        <v>0</v>
      </c>
      <c r="M24" s="48">
        <v>58.2</v>
      </c>
      <c r="N24" s="48">
        <v>4933.55</v>
      </c>
      <c r="O24" s="48">
        <f t="shared" si="6"/>
        <v>287.13299999999998</v>
      </c>
      <c r="P24" s="48">
        <f t="shared" si="7"/>
        <v>176.39999999999998</v>
      </c>
      <c r="Q24" s="48">
        <f t="shared" si="2"/>
        <v>833.12000000000012</v>
      </c>
      <c r="R24" s="49"/>
      <c r="S24" s="15"/>
      <c r="T24" s="54">
        <v>127.6</v>
      </c>
      <c r="U24" s="50">
        <v>112.3</v>
      </c>
      <c r="V24" s="55">
        <v>157.6</v>
      </c>
      <c r="W24" s="56">
        <v>159.80000000000001</v>
      </c>
      <c r="X24" s="57">
        <v>160.69999999999999</v>
      </c>
      <c r="Y24" s="57">
        <v>173.4</v>
      </c>
      <c r="Z24" s="50">
        <f t="shared" si="0"/>
        <v>152.80000000000001</v>
      </c>
      <c r="AA24" s="50"/>
      <c r="AB24" s="79">
        <f t="shared" si="1"/>
        <v>176.39999999999998</v>
      </c>
    </row>
    <row r="25" spans="1:28" s="13" customFormat="1" ht="26.25" customHeight="1" x14ac:dyDescent="0.2">
      <c r="A25" s="46" t="s">
        <v>122</v>
      </c>
      <c r="B25" s="47" t="s">
        <v>351</v>
      </c>
      <c r="C25" s="43" t="s">
        <v>29</v>
      </c>
      <c r="D25" s="53">
        <v>25</v>
      </c>
      <c r="E25" s="48">
        <v>4619.18</v>
      </c>
      <c r="F25" s="48">
        <f t="shared" si="3"/>
        <v>115.48</v>
      </c>
      <c r="G25" s="48">
        <v>2.4</v>
      </c>
      <c r="H25" s="48">
        <v>4619.18</v>
      </c>
      <c r="I25" s="48">
        <f t="shared" si="4"/>
        <v>11.086</v>
      </c>
      <c r="J25" s="48">
        <v>0</v>
      </c>
      <c r="K25" s="48">
        <v>4933.55</v>
      </c>
      <c r="L25" s="48">
        <f t="shared" si="5"/>
        <v>0</v>
      </c>
      <c r="M25" s="48">
        <v>17.299999999999997</v>
      </c>
      <c r="N25" s="48">
        <v>4933.55</v>
      </c>
      <c r="O25" s="48">
        <f t="shared" si="6"/>
        <v>85.35</v>
      </c>
      <c r="P25" s="48">
        <f t="shared" si="7"/>
        <v>44.699999999999996</v>
      </c>
      <c r="Q25" s="48">
        <f t="shared" si="2"/>
        <v>211.916</v>
      </c>
      <c r="R25" s="49"/>
      <c r="S25" s="15"/>
      <c r="T25" s="54">
        <v>42.4</v>
      </c>
      <c r="U25" s="50">
        <v>40.700000000000003</v>
      </c>
      <c r="V25" s="55">
        <v>52</v>
      </c>
      <c r="W25" s="56">
        <v>43.2</v>
      </c>
      <c r="X25" s="57">
        <v>46.8</v>
      </c>
      <c r="Y25" s="57">
        <v>45.8</v>
      </c>
      <c r="Z25" s="50">
        <f t="shared" si="0"/>
        <v>45.7</v>
      </c>
      <c r="AA25" s="50"/>
      <c r="AB25" s="79">
        <f t="shared" si="1"/>
        <v>44.699999999999996</v>
      </c>
    </row>
    <row r="26" spans="1:28" s="13" customFormat="1" ht="26.25" customHeight="1" x14ac:dyDescent="0.2">
      <c r="A26" s="46" t="s">
        <v>123</v>
      </c>
      <c r="B26" s="47" t="s">
        <v>352</v>
      </c>
      <c r="C26" s="43" t="s">
        <v>29</v>
      </c>
      <c r="D26" s="53">
        <v>118.8</v>
      </c>
      <c r="E26" s="48">
        <v>4619.18</v>
      </c>
      <c r="F26" s="48">
        <f t="shared" si="3"/>
        <v>548.75900000000001</v>
      </c>
      <c r="G26" s="48">
        <v>15.5</v>
      </c>
      <c r="H26" s="48">
        <v>4619.18</v>
      </c>
      <c r="I26" s="48">
        <f t="shared" si="4"/>
        <v>71.596999999999994</v>
      </c>
      <c r="J26" s="48">
        <v>0</v>
      </c>
      <c r="K26" s="48">
        <v>4933.55</v>
      </c>
      <c r="L26" s="48">
        <f t="shared" si="5"/>
        <v>0</v>
      </c>
      <c r="M26" s="48">
        <v>64.900000000000006</v>
      </c>
      <c r="N26" s="48">
        <v>4933.55</v>
      </c>
      <c r="O26" s="48">
        <f t="shared" si="6"/>
        <v>320.18700000000001</v>
      </c>
      <c r="P26" s="48">
        <f t="shared" si="7"/>
        <v>199.20000000000002</v>
      </c>
      <c r="Q26" s="48">
        <f t="shared" si="2"/>
        <v>940.54300000000001</v>
      </c>
      <c r="R26" s="60"/>
      <c r="S26" s="15"/>
      <c r="T26" s="54">
        <v>198.8</v>
      </c>
      <c r="U26" s="50">
        <v>176.8</v>
      </c>
      <c r="V26" s="55">
        <v>211.6</v>
      </c>
      <c r="W26" s="56">
        <v>167.60000000000002</v>
      </c>
      <c r="X26" s="57">
        <v>183.60000000000002</v>
      </c>
      <c r="Y26" s="57">
        <v>202.4</v>
      </c>
      <c r="Z26" s="50">
        <f t="shared" si="0"/>
        <v>188.4</v>
      </c>
      <c r="AA26" s="50"/>
      <c r="AB26" s="79">
        <f t="shared" si="1"/>
        <v>199.20000000000002</v>
      </c>
    </row>
    <row r="27" spans="1:28" s="13" customFormat="1" ht="26.25" customHeight="1" x14ac:dyDescent="0.2">
      <c r="A27" s="46" t="s">
        <v>124</v>
      </c>
      <c r="B27" s="47" t="s">
        <v>353</v>
      </c>
      <c r="C27" s="43" t="s">
        <v>29</v>
      </c>
      <c r="D27" s="53">
        <v>52.4</v>
      </c>
      <c r="E27" s="48">
        <v>4619.18</v>
      </c>
      <c r="F27" s="48">
        <f t="shared" si="3"/>
        <v>242.04499999999999</v>
      </c>
      <c r="G27" s="48">
        <v>27</v>
      </c>
      <c r="H27" s="48">
        <v>4619.18</v>
      </c>
      <c r="I27" s="48">
        <f t="shared" si="4"/>
        <v>124.718</v>
      </c>
      <c r="J27" s="48">
        <v>0</v>
      </c>
      <c r="K27" s="48">
        <v>4933.55</v>
      </c>
      <c r="L27" s="48">
        <f t="shared" si="5"/>
        <v>0</v>
      </c>
      <c r="M27" s="48">
        <v>50.9</v>
      </c>
      <c r="N27" s="48">
        <v>4933.55</v>
      </c>
      <c r="O27" s="48">
        <f t="shared" si="6"/>
        <v>251.11799999999999</v>
      </c>
      <c r="P27" s="48">
        <f t="shared" si="7"/>
        <v>130.30000000000001</v>
      </c>
      <c r="Q27" s="48">
        <f t="shared" si="2"/>
        <v>617.88099999999997</v>
      </c>
      <c r="R27" s="60"/>
      <c r="S27" s="15"/>
      <c r="T27" s="54">
        <v>106.5</v>
      </c>
      <c r="U27" s="50">
        <v>77.3</v>
      </c>
      <c r="V27" s="55">
        <v>103.7</v>
      </c>
      <c r="W27" s="56">
        <v>83.4</v>
      </c>
      <c r="X27" s="57">
        <v>87.7</v>
      </c>
      <c r="Y27" s="57">
        <v>97</v>
      </c>
      <c r="Z27" s="50">
        <f t="shared" si="0"/>
        <v>89.8</v>
      </c>
      <c r="AA27" s="50"/>
      <c r="AB27" s="79">
        <f t="shared" si="1"/>
        <v>130.30000000000001</v>
      </c>
    </row>
    <row r="28" spans="1:28" s="13" customFormat="1" ht="26.25" customHeight="1" x14ac:dyDescent="0.2">
      <c r="A28" s="46" t="s">
        <v>125</v>
      </c>
      <c r="B28" s="47" t="s">
        <v>354</v>
      </c>
      <c r="C28" s="43" t="s">
        <v>29</v>
      </c>
      <c r="D28" s="53">
        <v>77.3</v>
      </c>
      <c r="E28" s="48">
        <v>4619.18</v>
      </c>
      <c r="F28" s="48">
        <f t="shared" si="3"/>
        <v>357.06299999999999</v>
      </c>
      <c r="G28" s="48">
        <v>10</v>
      </c>
      <c r="H28" s="48">
        <v>4619.18</v>
      </c>
      <c r="I28" s="48">
        <f t="shared" si="4"/>
        <v>46.192</v>
      </c>
      <c r="J28" s="48">
        <v>0</v>
      </c>
      <c r="K28" s="48">
        <v>4933.55</v>
      </c>
      <c r="L28" s="48">
        <f t="shared" si="5"/>
        <v>0</v>
      </c>
      <c r="M28" s="48">
        <v>54.2</v>
      </c>
      <c r="N28" s="48">
        <v>4933.55</v>
      </c>
      <c r="O28" s="48">
        <f t="shared" si="6"/>
        <v>267.39800000000002</v>
      </c>
      <c r="P28" s="48">
        <f t="shared" si="7"/>
        <v>141.5</v>
      </c>
      <c r="Q28" s="48">
        <f t="shared" si="2"/>
        <v>670.65300000000002</v>
      </c>
      <c r="R28" s="60"/>
      <c r="S28" s="15"/>
      <c r="T28" s="54">
        <v>144.19999999999999</v>
      </c>
      <c r="U28" s="50">
        <v>128.1</v>
      </c>
      <c r="V28" s="55">
        <v>162.80000000000001</v>
      </c>
      <c r="W28" s="56">
        <v>138.69999999999999</v>
      </c>
      <c r="X28" s="57">
        <v>137.19999999999999</v>
      </c>
      <c r="Y28" s="57">
        <v>140.5</v>
      </c>
      <c r="Z28" s="50">
        <f t="shared" si="0"/>
        <v>141.5</v>
      </c>
      <c r="AA28" s="50"/>
      <c r="AB28" s="79">
        <f t="shared" si="1"/>
        <v>141.5</v>
      </c>
    </row>
    <row r="29" spans="1:28" s="13" customFormat="1" ht="26.25" customHeight="1" x14ac:dyDescent="0.2">
      <c r="A29" s="46" t="s">
        <v>126</v>
      </c>
      <c r="B29" s="47" t="s">
        <v>355</v>
      </c>
      <c r="C29" s="43" t="s">
        <v>29</v>
      </c>
      <c r="D29" s="53">
        <v>109.2</v>
      </c>
      <c r="E29" s="48">
        <v>4619.18</v>
      </c>
      <c r="F29" s="48">
        <f t="shared" si="3"/>
        <v>504.41399999999999</v>
      </c>
      <c r="G29" s="48">
        <v>8.8000000000000007</v>
      </c>
      <c r="H29" s="48">
        <v>4619.18</v>
      </c>
      <c r="I29" s="48">
        <f t="shared" si="4"/>
        <v>40.649000000000001</v>
      </c>
      <c r="J29" s="48">
        <v>0</v>
      </c>
      <c r="K29" s="48">
        <v>4933.55</v>
      </c>
      <c r="L29" s="48">
        <f t="shared" si="5"/>
        <v>0</v>
      </c>
      <c r="M29" s="48">
        <v>88.8</v>
      </c>
      <c r="N29" s="48">
        <v>4933.55</v>
      </c>
      <c r="O29" s="48">
        <f t="shared" si="6"/>
        <v>438.09899999999999</v>
      </c>
      <c r="P29" s="48">
        <f t="shared" si="7"/>
        <v>206.8</v>
      </c>
      <c r="Q29" s="48">
        <f t="shared" si="2"/>
        <v>983.16200000000003</v>
      </c>
      <c r="R29" s="60"/>
      <c r="S29" s="15"/>
      <c r="T29" s="54">
        <v>209.8</v>
      </c>
      <c r="U29" s="50">
        <v>166.4</v>
      </c>
      <c r="V29" s="55">
        <v>188</v>
      </c>
      <c r="W29" s="56">
        <v>155.70000000000002</v>
      </c>
      <c r="X29" s="57">
        <v>166.4</v>
      </c>
      <c r="Y29" s="57">
        <v>178.5</v>
      </c>
      <c r="Z29" s="50">
        <f t="shared" si="0"/>
        <v>171</v>
      </c>
      <c r="AA29" s="50"/>
      <c r="AB29" s="79">
        <f t="shared" si="1"/>
        <v>206.8</v>
      </c>
    </row>
    <row r="30" spans="1:28" s="13" customFormat="1" ht="26.25" customHeight="1" x14ac:dyDescent="0.2">
      <c r="A30" s="46" t="s">
        <v>127</v>
      </c>
      <c r="B30" s="47" t="s">
        <v>356</v>
      </c>
      <c r="C30" s="43" t="s">
        <v>29</v>
      </c>
      <c r="D30" s="53">
        <v>120.3</v>
      </c>
      <c r="E30" s="48">
        <v>4619.18</v>
      </c>
      <c r="F30" s="48">
        <f t="shared" si="3"/>
        <v>555.68700000000001</v>
      </c>
      <c r="G30" s="53">
        <v>17.5</v>
      </c>
      <c r="H30" s="48">
        <v>4619.18</v>
      </c>
      <c r="I30" s="48">
        <f t="shared" si="4"/>
        <v>80.835999999999999</v>
      </c>
      <c r="J30" s="53">
        <v>0</v>
      </c>
      <c r="K30" s="48">
        <v>4933.55</v>
      </c>
      <c r="L30" s="48">
        <f t="shared" si="5"/>
        <v>0</v>
      </c>
      <c r="M30" s="53">
        <v>69.3</v>
      </c>
      <c r="N30" s="48">
        <v>4933.55</v>
      </c>
      <c r="O30" s="48">
        <f t="shared" si="6"/>
        <v>341.89499999999998</v>
      </c>
      <c r="P30" s="48">
        <f t="shared" si="7"/>
        <v>207.10000000000002</v>
      </c>
      <c r="Q30" s="48">
        <f t="shared" si="2"/>
        <v>978.41800000000001</v>
      </c>
      <c r="R30" s="60"/>
      <c r="S30" s="15"/>
      <c r="T30" s="50">
        <v>198.6</v>
      </c>
      <c r="U30" s="50">
        <v>182.9</v>
      </c>
      <c r="V30" s="55">
        <v>227.1</v>
      </c>
      <c r="W30" s="56">
        <v>194.6</v>
      </c>
      <c r="X30" s="57">
        <v>202</v>
      </c>
      <c r="Y30" s="57">
        <v>207.1</v>
      </c>
      <c r="Z30" s="50">
        <f t="shared" si="0"/>
        <v>202.7</v>
      </c>
      <c r="AA30" s="50"/>
      <c r="AB30" s="79">
        <f t="shared" si="1"/>
        <v>207.10000000000002</v>
      </c>
    </row>
    <row r="31" spans="1:28" s="13" customFormat="1" ht="26.25" customHeight="1" x14ac:dyDescent="0.2">
      <c r="A31" s="46" t="s">
        <v>128</v>
      </c>
      <c r="B31" s="47" t="s">
        <v>357</v>
      </c>
      <c r="C31" s="43" t="s">
        <v>29</v>
      </c>
      <c r="D31" s="53">
        <v>142</v>
      </c>
      <c r="E31" s="48">
        <v>4619.18</v>
      </c>
      <c r="F31" s="48">
        <f t="shared" si="3"/>
        <v>655.92399999999998</v>
      </c>
      <c r="G31" s="48">
        <v>20.399999999999999</v>
      </c>
      <c r="H31" s="48">
        <v>4619.18</v>
      </c>
      <c r="I31" s="48">
        <f t="shared" si="4"/>
        <v>94.230999999999995</v>
      </c>
      <c r="J31" s="48">
        <v>0</v>
      </c>
      <c r="K31" s="48">
        <v>4933.55</v>
      </c>
      <c r="L31" s="48">
        <f t="shared" si="5"/>
        <v>0</v>
      </c>
      <c r="M31" s="48">
        <v>76</v>
      </c>
      <c r="N31" s="48">
        <v>4933.55</v>
      </c>
      <c r="O31" s="48">
        <f t="shared" si="6"/>
        <v>374.95</v>
      </c>
      <c r="P31" s="48">
        <f t="shared" si="7"/>
        <v>238.4</v>
      </c>
      <c r="Q31" s="48">
        <f t="shared" si="2"/>
        <v>1125.105</v>
      </c>
      <c r="R31" s="49"/>
      <c r="S31" s="15"/>
      <c r="T31" s="54">
        <v>241.4</v>
      </c>
      <c r="U31" s="50">
        <v>227.9</v>
      </c>
      <c r="V31" s="55">
        <v>261.3</v>
      </c>
      <c r="W31" s="56">
        <v>207.7</v>
      </c>
      <c r="X31" s="57">
        <v>218.79999999999998</v>
      </c>
      <c r="Y31" s="57">
        <v>238.4</v>
      </c>
      <c r="Z31" s="50">
        <f t="shared" si="0"/>
        <v>230.8</v>
      </c>
      <c r="AA31" s="50"/>
      <c r="AB31" s="79">
        <f t="shared" si="1"/>
        <v>238.4</v>
      </c>
    </row>
    <row r="32" spans="1:28" s="13" customFormat="1" ht="26.25" customHeight="1" x14ac:dyDescent="0.2">
      <c r="A32" s="46" t="s">
        <v>129</v>
      </c>
      <c r="B32" s="47" t="s">
        <v>358</v>
      </c>
      <c r="C32" s="58" t="s">
        <v>288</v>
      </c>
      <c r="D32" s="53">
        <v>151.46600000000001</v>
      </c>
      <c r="E32" s="48">
        <v>3833.1390000000001</v>
      </c>
      <c r="F32" s="48">
        <f t="shared" si="3"/>
        <v>580.59</v>
      </c>
      <c r="G32" s="48">
        <v>11.242000000000001</v>
      </c>
      <c r="H32" s="48">
        <v>3833.1390000000001</v>
      </c>
      <c r="I32" s="48">
        <f t="shared" si="4"/>
        <v>43.091999999999999</v>
      </c>
      <c r="J32" s="48">
        <v>0</v>
      </c>
      <c r="K32" s="48">
        <v>4619.18</v>
      </c>
      <c r="L32" s="48">
        <f t="shared" si="5"/>
        <v>0</v>
      </c>
      <c r="M32" s="48">
        <v>119.154</v>
      </c>
      <c r="N32" s="48">
        <v>4619.18</v>
      </c>
      <c r="O32" s="48">
        <f t="shared" si="6"/>
        <v>550.39400000000001</v>
      </c>
      <c r="P32" s="48">
        <f t="shared" si="7"/>
        <v>281.86199999999997</v>
      </c>
      <c r="Q32" s="48">
        <f>F32+I32+L32+O32</f>
        <v>1174.076</v>
      </c>
      <c r="R32" s="60">
        <v>2</v>
      </c>
      <c r="S32" s="15"/>
      <c r="T32" s="54">
        <v>247.34700000000001</v>
      </c>
      <c r="U32" s="50">
        <v>252.3</v>
      </c>
      <c r="V32" s="55">
        <v>297.27999999999997</v>
      </c>
      <c r="W32" s="56">
        <v>255.41399999999999</v>
      </c>
      <c r="X32" s="57">
        <v>260.17899999999997</v>
      </c>
      <c r="Y32" s="57">
        <v>255.04</v>
      </c>
      <c r="Z32" s="50">
        <f t="shared" si="0"/>
        <v>264</v>
      </c>
      <c r="AA32" s="50"/>
      <c r="AB32" s="79">
        <f t="shared" si="1"/>
        <v>281.86199999999997</v>
      </c>
    </row>
    <row r="33" spans="1:30" s="13" customFormat="1" ht="26.25" customHeight="1" x14ac:dyDescent="0.2">
      <c r="A33" s="46" t="s">
        <v>130</v>
      </c>
      <c r="B33" s="47" t="s">
        <v>307</v>
      </c>
      <c r="C33" s="43" t="s">
        <v>29</v>
      </c>
      <c r="D33" s="53">
        <v>546.4</v>
      </c>
      <c r="E33" s="48">
        <v>4619.18</v>
      </c>
      <c r="F33" s="48">
        <f t="shared" si="3"/>
        <v>2523.92</v>
      </c>
      <c r="G33" s="53">
        <v>72.3</v>
      </c>
      <c r="H33" s="48">
        <v>4619.18</v>
      </c>
      <c r="I33" s="48">
        <f>ROUND((G33*H33/1000),3)</f>
        <v>333.96699999999998</v>
      </c>
      <c r="J33" s="53">
        <v>0</v>
      </c>
      <c r="K33" s="48">
        <v>4933.55</v>
      </c>
      <c r="L33" s="48">
        <f t="shared" si="5"/>
        <v>0</v>
      </c>
      <c r="M33" s="53">
        <v>331.20000000000005</v>
      </c>
      <c r="N33" s="48">
        <v>4933.55</v>
      </c>
      <c r="O33" s="48">
        <f t="shared" si="6"/>
        <v>1633.992</v>
      </c>
      <c r="P33" s="48">
        <f t="shared" si="7"/>
        <v>949.9</v>
      </c>
      <c r="Q33" s="48">
        <f t="shared" si="2"/>
        <v>4491.8789999999999</v>
      </c>
      <c r="R33" s="49"/>
      <c r="S33" s="19">
        <v>2</v>
      </c>
      <c r="T33" s="54">
        <v>830.4</v>
      </c>
      <c r="U33" s="50">
        <v>650.1</v>
      </c>
      <c r="V33" s="55">
        <v>811.4</v>
      </c>
      <c r="W33" s="56">
        <v>730.09999999999991</v>
      </c>
      <c r="X33" s="57">
        <v>835.8</v>
      </c>
      <c r="Y33" s="57">
        <v>949.5</v>
      </c>
      <c r="Z33" s="50">
        <f t="shared" si="0"/>
        <v>795.4</v>
      </c>
      <c r="AA33" s="50"/>
      <c r="AB33" s="79">
        <f t="shared" si="1"/>
        <v>949.9</v>
      </c>
      <c r="AD33" s="59"/>
    </row>
    <row r="34" spans="1:30" s="13" customFormat="1" ht="26.25" customHeight="1" x14ac:dyDescent="0.2">
      <c r="A34" s="46" t="s">
        <v>131</v>
      </c>
      <c r="B34" s="47" t="s">
        <v>308</v>
      </c>
      <c r="C34" s="43" t="s">
        <v>29</v>
      </c>
      <c r="D34" s="53">
        <v>469.30000000000007</v>
      </c>
      <c r="E34" s="48">
        <v>4619.18</v>
      </c>
      <c r="F34" s="48">
        <f t="shared" si="3"/>
        <v>2167.7809999999999</v>
      </c>
      <c r="G34" s="53">
        <v>262.7</v>
      </c>
      <c r="H34" s="48">
        <v>4619.18</v>
      </c>
      <c r="I34" s="48">
        <f t="shared" si="4"/>
        <v>1213.4590000000001</v>
      </c>
      <c r="J34" s="53">
        <v>0</v>
      </c>
      <c r="K34" s="48">
        <v>4933.55</v>
      </c>
      <c r="L34" s="48">
        <f t="shared" si="5"/>
        <v>0</v>
      </c>
      <c r="M34" s="53">
        <v>61.45</v>
      </c>
      <c r="N34" s="48">
        <v>4933.55</v>
      </c>
      <c r="O34" s="48">
        <f t="shared" si="6"/>
        <v>303.16699999999997</v>
      </c>
      <c r="P34" s="48">
        <f t="shared" si="7"/>
        <v>793.45</v>
      </c>
      <c r="Q34" s="48">
        <f t="shared" si="2"/>
        <v>3684.4069999999997</v>
      </c>
      <c r="R34" s="60"/>
      <c r="S34" s="15"/>
      <c r="T34" s="54">
        <v>474.5</v>
      </c>
      <c r="U34" s="50">
        <v>403.1</v>
      </c>
      <c r="V34" s="55">
        <v>446.6</v>
      </c>
      <c r="W34" s="56">
        <v>369.09999999999997</v>
      </c>
      <c r="X34" s="57">
        <v>357.70000000000005</v>
      </c>
      <c r="Y34" s="57">
        <v>990.6</v>
      </c>
      <c r="Z34" s="50">
        <f t="shared" si="0"/>
        <v>513.4</v>
      </c>
      <c r="AA34" s="50"/>
      <c r="AB34" s="79">
        <f t="shared" si="1"/>
        <v>793.45</v>
      </c>
      <c r="AC34" s="13" t="s">
        <v>261</v>
      </c>
    </row>
    <row r="35" spans="1:30" s="13" customFormat="1" ht="26.25" customHeight="1" x14ac:dyDescent="0.2">
      <c r="A35" s="46" t="s">
        <v>132</v>
      </c>
      <c r="B35" s="61" t="s">
        <v>309</v>
      </c>
      <c r="C35" s="43" t="s">
        <v>29</v>
      </c>
      <c r="D35" s="53">
        <v>152</v>
      </c>
      <c r="E35" s="48">
        <v>4619.18</v>
      </c>
      <c r="F35" s="48">
        <f t="shared" si="3"/>
        <v>702.11500000000001</v>
      </c>
      <c r="G35" s="48">
        <v>19.7</v>
      </c>
      <c r="H35" s="48">
        <v>4619.18</v>
      </c>
      <c r="I35" s="48">
        <f t="shared" si="4"/>
        <v>90.998000000000005</v>
      </c>
      <c r="J35" s="53">
        <v>0</v>
      </c>
      <c r="K35" s="48">
        <v>4933.55</v>
      </c>
      <c r="L35" s="48">
        <f t="shared" si="5"/>
        <v>0</v>
      </c>
      <c r="M35" s="53">
        <v>92.9</v>
      </c>
      <c r="N35" s="48">
        <v>4933.55</v>
      </c>
      <c r="O35" s="48">
        <f t="shared" si="6"/>
        <v>458.327</v>
      </c>
      <c r="P35" s="48">
        <f t="shared" si="7"/>
        <v>264.60000000000002</v>
      </c>
      <c r="Q35" s="48">
        <f t="shared" si="2"/>
        <v>1251.44</v>
      </c>
      <c r="R35" s="49"/>
      <c r="S35" s="15"/>
      <c r="T35" s="54">
        <v>300.60000000000002</v>
      </c>
      <c r="U35" s="50">
        <v>278.60000000000002</v>
      </c>
      <c r="V35" s="55">
        <v>258</v>
      </c>
      <c r="W35" s="56">
        <v>229.7</v>
      </c>
      <c r="X35" s="57">
        <v>237.8</v>
      </c>
      <c r="Y35" s="57">
        <v>264.60000000000002</v>
      </c>
      <c r="Z35" s="50">
        <f t="shared" si="0"/>
        <v>253.7</v>
      </c>
      <c r="AA35" s="50"/>
      <c r="AB35" s="79">
        <f t="shared" si="1"/>
        <v>264.60000000000002</v>
      </c>
    </row>
    <row r="36" spans="1:30" s="13" customFormat="1" ht="26.25" customHeight="1" x14ac:dyDescent="0.2">
      <c r="A36" s="46" t="s">
        <v>133</v>
      </c>
      <c r="B36" s="47" t="s">
        <v>310</v>
      </c>
      <c r="C36" s="43" t="s">
        <v>29</v>
      </c>
      <c r="D36" s="53">
        <v>215.39999999999998</v>
      </c>
      <c r="E36" s="48">
        <v>4619.18</v>
      </c>
      <c r="F36" s="48">
        <f t="shared" si="3"/>
        <v>994.971</v>
      </c>
      <c r="G36" s="53">
        <v>15.5</v>
      </c>
      <c r="H36" s="48">
        <v>4619.18</v>
      </c>
      <c r="I36" s="48">
        <f t="shared" si="4"/>
        <v>71.596999999999994</v>
      </c>
      <c r="J36" s="53">
        <v>0</v>
      </c>
      <c r="K36" s="48">
        <v>4933.55</v>
      </c>
      <c r="L36" s="48">
        <f t="shared" si="5"/>
        <v>0</v>
      </c>
      <c r="M36" s="53">
        <v>221.2</v>
      </c>
      <c r="N36" s="48">
        <v>4933.55</v>
      </c>
      <c r="O36" s="48">
        <f t="shared" si="6"/>
        <v>1091.3009999999999</v>
      </c>
      <c r="P36" s="48">
        <f t="shared" si="7"/>
        <v>452.09999999999997</v>
      </c>
      <c r="Q36" s="48">
        <f t="shared" si="2"/>
        <v>2157.8689999999997</v>
      </c>
      <c r="R36" s="49"/>
      <c r="S36" s="15"/>
      <c r="T36" s="54">
        <v>400.2</v>
      </c>
      <c r="U36" s="50">
        <v>327.10000000000002</v>
      </c>
      <c r="V36" s="55">
        <v>418</v>
      </c>
      <c r="W36" s="56">
        <v>353.8</v>
      </c>
      <c r="X36" s="57">
        <v>347.3</v>
      </c>
      <c r="Y36" s="57">
        <v>373.1</v>
      </c>
      <c r="Z36" s="50">
        <f t="shared" si="0"/>
        <v>363.9</v>
      </c>
      <c r="AA36" s="50"/>
      <c r="AB36" s="79">
        <f t="shared" si="1"/>
        <v>452.09999999999997</v>
      </c>
    </row>
    <row r="37" spans="1:30" s="13" customFormat="1" ht="26.25" customHeight="1" x14ac:dyDescent="0.2">
      <c r="A37" s="24" t="s">
        <v>134</v>
      </c>
      <c r="B37" s="27" t="s">
        <v>311</v>
      </c>
      <c r="C37" s="68" t="s">
        <v>29</v>
      </c>
      <c r="D37" s="25">
        <v>125.2</v>
      </c>
      <c r="E37" s="48">
        <v>4619.18</v>
      </c>
      <c r="F37" s="26">
        <f t="shared" si="3"/>
        <v>578.32100000000003</v>
      </c>
      <c r="G37" s="25">
        <v>12.8</v>
      </c>
      <c r="H37" s="48">
        <v>4619.18</v>
      </c>
      <c r="I37" s="26">
        <f t="shared" si="4"/>
        <v>59.125999999999998</v>
      </c>
      <c r="J37" s="25">
        <v>0</v>
      </c>
      <c r="K37" s="48">
        <v>4933.55</v>
      </c>
      <c r="L37" s="26">
        <f t="shared" si="5"/>
        <v>0</v>
      </c>
      <c r="M37" s="25">
        <v>87.9</v>
      </c>
      <c r="N37" s="48">
        <v>4933.55</v>
      </c>
      <c r="O37" s="26">
        <f t="shared" si="6"/>
        <v>433.65899999999999</v>
      </c>
      <c r="P37" s="26">
        <f t="shared" si="7"/>
        <v>225.9</v>
      </c>
      <c r="Q37" s="26">
        <f t="shared" si="2"/>
        <v>1071.106</v>
      </c>
      <c r="R37" s="49"/>
      <c r="S37" s="15"/>
      <c r="T37" s="54">
        <v>241.4</v>
      </c>
      <c r="U37" s="50">
        <v>184.7</v>
      </c>
      <c r="V37" s="55">
        <v>243.4</v>
      </c>
      <c r="W37" s="56">
        <v>217.5</v>
      </c>
      <c r="X37" s="57">
        <v>222.3</v>
      </c>
      <c r="Y37" s="57">
        <v>230.8</v>
      </c>
      <c r="Z37" s="50">
        <f t="shared" si="0"/>
        <v>219.7</v>
      </c>
      <c r="AA37" s="50"/>
      <c r="AB37" s="79">
        <f t="shared" si="1"/>
        <v>225.9</v>
      </c>
    </row>
    <row r="38" spans="1:30" s="13" customFormat="1" ht="26.25" customHeight="1" x14ac:dyDescent="0.2">
      <c r="A38" s="46" t="s">
        <v>135</v>
      </c>
      <c r="B38" s="47" t="s">
        <v>312</v>
      </c>
      <c r="C38" s="43" t="s">
        <v>29</v>
      </c>
      <c r="D38" s="53">
        <v>179.7</v>
      </c>
      <c r="E38" s="48">
        <v>4619.18</v>
      </c>
      <c r="F38" s="48">
        <f t="shared" si="3"/>
        <v>830.06700000000001</v>
      </c>
      <c r="G38" s="53">
        <v>24.2</v>
      </c>
      <c r="H38" s="48">
        <v>4619.18</v>
      </c>
      <c r="I38" s="48">
        <f t="shared" si="4"/>
        <v>111.78400000000001</v>
      </c>
      <c r="J38" s="53">
        <v>0</v>
      </c>
      <c r="K38" s="48">
        <v>4933.55</v>
      </c>
      <c r="L38" s="48">
        <f t="shared" si="5"/>
        <v>0</v>
      </c>
      <c r="M38" s="53">
        <v>102.9</v>
      </c>
      <c r="N38" s="48">
        <v>4933.55</v>
      </c>
      <c r="O38" s="48">
        <f t="shared" si="6"/>
        <v>507.66199999999998</v>
      </c>
      <c r="P38" s="48">
        <f t="shared" si="7"/>
        <v>306.79999999999995</v>
      </c>
      <c r="Q38" s="48">
        <f t="shared" si="2"/>
        <v>1449.5129999999999</v>
      </c>
      <c r="R38" s="49"/>
      <c r="S38" s="15"/>
      <c r="T38" s="54">
        <v>368.8</v>
      </c>
      <c r="U38" s="50">
        <v>261.89999999999998</v>
      </c>
      <c r="V38" s="55">
        <v>342.5</v>
      </c>
      <c r="W38" s="56">
        <v>273.89999999999998</v>
      </c>
      <c r="X38" s="57">
        <v>287.89999999999998</v>
      </c>
      <c r="Y38" s="57">
        <v>314.2</v>
      </c>
      <c r="Z38" s="50">
        <f t="shared" si="0"/>
        <v>296.10000000000002</v>
      </c>
      <c r="AA38" s="50"/>
      <c r="AB38" s="79">
        <f t="shared" si="1"/>
        <v>306.79999999999995</v>
      </c>
    </row>
    <row r="39" spans="1:30" s="13" customFormat="1" ht="26.25" customHeight="1" x14ac:dyDescent="0.2">
      <c r="A39" s="46" t="s">
        <v>136</v>
      </c>
      <c r="B39" s="47" t="s">
        <v>359</v>
      </c>
      <c r="C39" s="43" t="s">
        <v>29</v>
      </c>
      <c r="D39" s="53">
        <v>278.5</v>
      </c>
      <c r="E39" s="48">
        <v>4619.18</v>
      </c>
      <c r="F39" s="48">
        <f t="shared" si="3"/>
        <v>1286.442</v>
      </c>
      <c r="G39" s="53">
        <v>0</v>
      </c>
      <c r="H39" s="48">
        <v>4619.18</v>
      </c>
      <c r="I39" s="48">
        <f t="shared" si="4"/>
        <v>0</v>
      </c>
      <c r="J39" s="53">
        <v>0</v>
      </c>
      <c r="K39" s="48">
        <v>4933.55</v>
      </c>
      <c r="L39" s="48">
        <f t="shared" si="5"/>
        <v>0</v>
      </c>
      <c r="M39" s="53">
        <v>189.5</v>
      </c>
      <c r="N39" s="48">
        <v>4933.55</v>
      </c>
      <c r="O39" s="48">
        <f t="shared" si="6"/>
        <v>934.90800000000002</v>
      </c>
      <c r="P39" s="48">
        <f t="shared" si="7"/>
        <v>468</v>
      </c>
      <c r="Q39" s="48">
        <f t="shared" si="2"/>
        <v>2221.35</v>
      </c>
      <c r="R39" s="49"/>
      <c r="S39" s="15"/>
      <c r="T39" s="54">
        <v>411.5</v>
      </c>
      <c r="U39" s="50">
        <v>314</v>
      </c>
      <c r="V39" s="55">
        <v>416.6</v>
      </c>
      <c r="W39" s="56">
        <v>361.5</v>
      </c>
      <c r="X39" s="57">
        <v>384.19999999999993</v>
      </c>
      <c r="Y39" s="57">
        <v>481</v>
      </c>
      <c r="Z39" s="50">
        <f t="shared" si="0"/>
        <v>391.5</v>
      </c>
      <c r="AA39" s="50"/>
      <c r="AB39" s="79">
        <f t="shared" si="1"/>
        <v>468</v>
      </c>
    </row>
    <row r="40" spans="1:30" s="13" customFormat="1" ht="26.25" customHeight="1" x14ac:dyDescent="0.2">
      <c r="A40" s="46" t="s">
        <v>137</v>
      </c>
      <c r="B40" s="47" t="s">
        <v>314</v>
      </c>
      <c r="C40" s="43" t="s">
        <v>29</v>
      </c>
      <c r="D40" s="53">
        <v>126.99999999999999</v>
      </c>
      <c r="E40" s="48">
        <v>4619.18</v>
      </c>
      <c r="F40" s="48">
        <f t="shared" si="3"/>
        <v>586.63599999999997</v>
      </c>
      <c r="G40" s="53">
        <v>9.1</v>
      </c>
      <c r="H40" s="48">
        <v>4619.18</v>
      </c>
      <c r="I40" s="48">
        <f t="shared" si="4"/>
        <v>42.034999999999997</v>
      </c>
      <c r="J40" s="53">
        <v>0</v>
      </c>
      <c r="K40" s="48">
        <v>4933.55</v>
      </c>
      <c r="L40" s="48">
        <f t="shared" si="5"/>
        <v>0</v>
      </c>
      <c r="M40" s="53">
        <v>95.6</v>
      </c>
      <c r="N40" s="48">
        <v>4933.55</v>
      </c>
      <c r="O40" s="48">
        <f t="shared" si="6"/>
        <v>471.64699999999999</v>
      </c>
      <c r="P40" s="48">
        <f t="shared" si="7"/>
        <v>231.7</v>
      </c>
      <c r="Q40" s="48">
        <f t="shared" si="2"/>
        <v>1100.318</v>
      </c>
      <c r="R40" s="49"/>
      <c r="S40" s="15"/>
      <c r="T40" s="54">
        <v>239.3</v>
      </c>
      <c r="U40" s="50">
        <v>212.7</v>
      </c>
      <c r="V40" s="55">
        <v>243.7</v>
      </c>
      <c r="W40" s="56">
        <v>219.20000000000002</v>
      </c>
      <c r="X40" s="57">
        <v>219.8</v>
      </c>
      <c r="Y40" s="57">
        <v>227.9</v>
      </c>
      <c r="Z40" s="50">
        <f t="shared" si="0"/>
        <v>224.7</v>
      </c>
      <c r="AA40" s="50"/>
      <c r="AB40" s="79">
        <f t="shared" si="1"/>
        <v>231.7</v>
      </c>
    </row>
    <row r="41" spans="1:30" s="13" customFormat="1" ht="26.25" customHeight="1" x14ac:dyDescent="0.2">
      <c r="A41" s="46" t="s">
        <v>138</v>
      </c>
      <c r="B41" s="61" t="s">
        <v>316</v>
      </c>
      <c r="C41" s="43" t="s">
        <v>29</v>
      </c>
      <c r="D41" s="53">
        <v>106.80000000000001</v>
      </c>
      <c r="E41" s="48">
        <v>4619.18</v>
      </c>
      <c r="F41" s="48">
        <f t="shared" si="3"/>
        <v>493.32799999999997</v>
      </c>
      <c r="G41" s="48">
        <v>10.3</v>
      </c>
      <c r="H41" s="48">
        <v>4619.18</v>
      </c>
      <c r="I41" s="48">
        <f t="shared" si="4"/>
        <v>47.578000000000003</v>
      </c>
      <c r="J41" s="48">
        <v>0</v>
      </c>
      <c r="K41" s="48">
        <v>4933.55</v>
      </c>
      <c r="L41" s="48">
        <f t="shared" si="5"/>
        <v>0</v>
      </c>
      <c r="M41" s="48">
        <v>62</v>
      </c>
      <c r="N41" s="48">
        <v>4933.55</v>
      </c>
      <c r="O41" s="48">
        <f t="shared" si="6"/>
        <v>305.88</v>
      </c>
      <c r="P41" s="48">
        <f t="shared" si="7"/>
        <v>179.10000000000002</v>
      </c>
      <c r="Q41" s="48">
        <f t="shared" si="2"/>
        <v>846.78599999999994</v>
      </c>
      <c r="R41" s="49"/>
      <c r="S41" s="15"/>
      <c r="T41" s="54">
        <v>155.5</v>
      </c>
      <c r="U41" s="50">
        <v>159.6</v>
      </c>
      <c r="V41" s="55">
        <v>188.3</v>
      </c>
      <c r="W41" s="56">
        <v>151.30000000000001</v>
      </c>
      <c r="X41" s="57">
        <v>143.30000000000001</v>
      </c>
      <c r="Y41" s="57">
        <v>155.1</v>
      </c>
      <c r="Z41" s="50">
        <f t="shared" si="0"/>
        <v>159.5</v>
      </c>
      <c r="AA41" s="50"/>
      <c r="AB41" s="79">
        <f t="shared" si="1"/>
        <v>179.10000000000002</v>
      </c>
    </row>
    <row r="42" spans="1:30" s="13" customFormat="1" ht="26.25" customHeight="1" x14ac:dyDescent="0.2">
      <c r="A42" s="46" t="s">
        <v>139</v>
      </c>
      <c r="B42" s="47" t="s">
        <v>317</v>
      </c>
      <c r="C42" s="58" t="s">
        <v>288</v>
      </c>
      <c r="D42" s="53">
        <v>137.97499999999999</v>
      </c>
      <c r="E42" s="48">
        <v>3833.1390000000001</v>
      </c>
      <c r="F42" s="48">
        <f t="shared" si="3"/>
        <v>528.87699999999995</v>
      </c>
      <c r="G42" s="53">
        <v>6.3970000000000002</v>
      </c>
      <c r="H42" s="48">
        <v>3833.1390000000001</v>
      </c>
      <c r="I42" s="48">
        <f t="shared" si="4"/>
        <v>24.521000000000001</v>
      </c>
      <c r="J42" s="53">
        <v>0</v>
      </c>
      <c r="K42" s="48">
        <v>4619.18</v>
      </c>
      <c r="L42" s="48">
        <f t="shared" si="5"/>
        <v>0</v>
      </c>
      <c r="M42" s="53">
        <v>109.983</v>
      </c>
      <c r="N42" s="48">
        <v>4619.18</v>
      </c>
      <c r="O42" s="48">
        <f t="shared" si="6"/>
        <v>508.03100000000001</v>
      </c>
      <c r="P42" s="48">
        <f t="shared" si="7"/>
        <v>254.35499999999999</v>
      </c>
      <c r="Q42" s="48">
        <f t="shared" si="2"/>
        <v>1061.4289999999999</v>
      </c>
      <c r="R42" s="49"/>
      <c r="S42" s="15"/>
      <c r="T42" s="54">
        <v>270.91000000000003</v>
      </c>
      <c r="U42" s="50">
        <v>190.77</v>
      </c>
      <c r="V42" s="55">
        <v>240.85</v>
      </c>
      <c r="W42" s="56">
        <v>219.43299999999999</v>
      </c>
      <c r="X42" s="57">
        <v>226.702</v>
      </c>
      <c r="Y42" s="57">
        <v>222.31</v>
      </c>
      <c r="Z42" s="50">
        <v>239.63</v>
      </c>
      <c r="AA42" s="50">
        <v>239.63</v>
      </c>
      <c r="AB42" s="79">
        <f t="shared" si="1"/>
        <v>14.724999999999994</v>
      </c>
    </row>
    <row r="43" spans="1:30" s="13" customFormat="1" ht="26.25" customHeight="1" x14ac:dyDescent="0.2">
      <c r="A43" s="46" t="s">
        <v>140</v>
      </c>
      <c r="B43" s="47" t="s">
        <v>360</v>
      </c>
      <c r="C43" s="43" t="s">
        <v>29</v>
      </c>
      <c r="D43" s="53">
        <v>76.599999999999994</v>
      </c>
      <c r="E43" s="48">
        <v>4619.18</v>
      </c>
      <c r="F43" s="48">
        <f t="shared" si="3"/>
        <v>353.82900000000001</v>
      </c>
      <c r="G43" s="53">
        <v>5.5</v>
      </c>
      <c r="H43" s="48">
        <v>4619.18</v>
      </c>
      <c r="I43" s="48">
        <f t="shared" si="4"/>
        <v>25.405000000000001</v>
      </c>
      <c r="J43" s="53">
        <v>0</v>
      </c>
      <c r="K43" s="48">
        <v>4933.55</v>
      </c>
      <c r="L43" s="48">
        <f t="shared" si="5"/>
        <v>0</v>
      </c>
      <c r="M43" s="53">
        <v>42.8</v>
      </c>
      <c r="N43" s="48">
        <v>4933.55</v>
      </c>
      <c r="O43" s="48">
        <f t="shared" si="6"/>
        <v>211.15600000000001</v>
      </c>
      <c r="P43" s="48">
        <f t="shared" si="7"/>
        <v>124.89999999999999</v>
      </c>
      <c r="Q43" s="48">
        <f t="shared" ref="Q43:Q67" si="8">F43+I43+L43+O43</f>
        <v>590.3900000000001</v>
      </c>
      <c r="R43" s="49"/>
      <c r="S43" s="15"/>
      <c r="T43" s="54">
        <v>131.4</v>
      </c>
      <c r="U43" s="50">
        <v>98.2</v>
      </c>
      <c r="V43" s="55">
        <v>118.6</v>
      </c>
      <c r="W43" s="56">
        <v>122.7</v>
      </c>
      <c r="X43" s="57">
        <v>118.7</v>
      </c>
      <c r="Y43" s="57">
        <v>128.5</v>
      </c>
      <c r="Z43" s="50">
        <f t="shared" si="0"/>
        <v>117.3</v>
      </c>
      <c r="AA43" s="50"/>
      <c r="AB43" s="79">
        <f t="shared" si="1"/>
        <v>124.89999999999999</v>
      </c>
    </row>
    <row r="44" spans="1:30" s="13" customFormat="1" ht="26.25" customHeight="1" x14ac:dyDescent="0.2">
      <c r="A44" s="46" t="s">
        <v>141</v>
      </c>
      <c r="B44" s="47" t="s">
        <v>319</v>
      </c>
      <c r="C44" s="43" t="s">
        <v>29</v>
      </c>
      <c r="D44" s="53">
        <v>299.2</v>
      </c>
      <c r="E44" s="48">
        <v>4619.18</v>
      </c>
      <c r="F44" s="48">
        <f t="shared" si="3"/>
        <v>1382.059</v>
      </c>
      <c r="G44" s="53">
        <v>38.4</v>
      </c>
      <c r="H44" s="48">
        <v>4619.18</v>
      </c>
      <c r="I44" s="48">
        <f>ROUND((G44*H44/1000),3)</f>
        <v>177.37700000000001</v>
      </c>
      <c r="J44" s="53">
        <v>0</v>
      </c>
      <c r="K44" s="48">
        <v>4933.55</v>
      </c>
      <c r="L44" s="48">
        <f t="shared" si="5"/>
        <v>0</v>
      </c>
      <c r="M44" s="53">
        <v>148.10000000000002</v>
      </c>
      <c r="N44" s="48">
        <v>4933.55</v>
      </c>
      <c r="O44" s="48">
        <f t="shared" si="6"/>
        <v>730.65899999999999</v>
      </c>
      <c r="P44" s="48">
        <f t="shared" si="7"/>
        <v>485.7</v>
      </c>
      <c r="Q44" s="48">
        <f t="shared" si="8"/>
        <v>2290.0949999999998</v>
      </c>
      <c r="R44" s="49"/>
      <c r="S44" s="15"/>
      <c r="T44" s="54">
        <v>488.5</v>
      </c>
      <c r="U44" s="50">
        <v>347.5</v>
      </c>
      <c r="V44" s="55">
        <v>435.6</v>
      </c>
      <c r="W44" s="56">
        <v>417.9</v>
      </c>
      <c r="X44" s="57">
        <v>456.09999999999997</v>
      </c>
      <c r="Y44" s="57">
        <v>488.1</v>
      </c>
      <c r="Z44" s="50">
        <f t="shared" si="0"/>
        <v>429</v>
      </c>
      <c r="AA44" s="50"/>
      <c r="AB44" s="79">
        <f t="shared" si="1"/>
        <v>485.7</v>
      </c>
    </row>
    <row r="45" spans="1:30" s="13" customFormat="1" ht="26.25" customHeight="1" x14ac:dyDescent="0.2">
      <c r="A45" s="46" t="s">
        <v>142</v>
      </c>
      <c r="B45" s="61" t="s">
        <v>320</v>
      </c>
      <c r="C45" s="43" t="s">
        <v>29</v>
      </c>
      <c r="D45" s="53">
        <v>95.3</v>
      </c>
      <c r="E45" s="48">
        <v>2082.7600000000002</v>
      </c>
      <c r="F45" s="48">
        <f t="shared" si="3"/>
        <v>198.48699999999999</v>
      </c>
      <c r="G45" s="48">
        <v>10</v>
      </c>
      <c r="H45" s="48">
        <v>2082.7600000000002</v>
      </c>
      <c r="I45" s="48">
        <f t="shared" si="4"/>
        <v>20.827999999999999</v>
      </c>
      <c r="J45" s="53">
        <v>0</v>
      </c>
      <c r="K45" s="48">
        <v>2635.28</v>
      </c>
      <c r="L45" s="48">
        <f t="shared" si="5"/>
        <v>0</v>
      </c>
      <c r="M45" s="53">
        <v>79</v>
      </c>
      <c r="N45" s="48">
        <v>2635.28</v>
      </c>
      <c r="O45" s="48">
        <f t="shared" si="6"/>
        <v>208.18700000000001</v>
      </c>
      <c r="P45" s="48">
        <f t="shared" si="7"/>
        <v>184.3</v>
      </c>
      <c r="Q45" s="48">
        <f t="shared" si="8"/>
        <v>427.50200000000001</v>
      </c>
      <c r="R45" s="60"/>
      <c r="S45" s="15"/>
      <c r="T45" s="54">
        <v>241.63200000000001</v>
      </c>
      <c r="U45" s="50">
        <v>249.9</v>
      </c>
      <c r="V45" s="55">
        <v>300.36</v>
      </c>
      <c r="W45" s="56">
        <v>235.92299999999997</v>
      </c>
      <c r="X45" s="57">
        <v>197.2</v>
      </c>
      <c r="Y45" s="57">
        <v>188.2</v>
      </c>
      <c r="Z45" s="50">
        <f t="shared" si="0"/>
        <v>234.3</v>
      </c>
      <c r="AA45" s="50">
        <v>157.9</v>
      </c>
      <c r="AB45" s="79">
        <f>P45-AA45</f>
        <v>26.400000000000006</v>
      </c>
    </row>
    <row r="46" spans="1:30" s="13" customFormat="1" ht="26.25" customHeight="1" x14ac:dyDescent="0.2">
      <c r="A46" s="46" t="s">
        <v>143</v>
      </c>
      <c r="B46" s="61" t="s">
        <v>322</v>
      </c>
      <c r="C46" s="43" t="s">
        <v>29</v>
      </c>
      <c r="D46" s="53">
        <v>183.3</v>
      </c>
      <c r="E46" s="48">
        <v>4619.18</v>
      </c>
      <c r="F46" s="48">
        <f t="shared" si="3"/>
        <v>846.69600000000003</v>
      </c>
      <c r="G46" s="48">
        <v>34.4</v>
      </c>
      <c r="H46" s="48">
        <v>4619.18</v>
      </c>
      <c r="I46" s="48">
        <f t="shared" si="4"/>
        <v>158.9</v>
      </c>
      <c r="J46" s="48">
        <v>0</v>
      </c>
      <c r="K46" s="48">
        <v>4933.55</v>
      </c>
      <c r="L46" s="48">
        <f t="shared" si="5"/>
        <v>0</v>
      </c>
      <c r="M46" s="48">
        <v>273.3</v>
      </c>
      <c r="N46" s="48">
        <v>4933.55</v>
      </c>
      <c r="O46" s="48">
        <f t="shared" si="6"/>
        <v>1348.3389999999999</v>
      </c>
      <c r="P46" s="48">
        <f t="shared" si="7"/>
        <v>491</v>
      </c>
      <c r="Q46" s="48">
        <f t="shared" si="8"/>
        <v>2353.9349999999999</v>
      </c>
      <c r="R46" s="49"/>
      <c r="S46" s="15"/>
      <c r="T46" s="54">
        <v>285.60000000000002</v>
      </c>
      <c r="U46" s="50">
        <v>242</v>
      </c>
      <c r="V46" s="55">
        <v>348.79</v>
      </c>
      <c r="W46" s="56">
        <v>286.7</v>
      </c>
      <c r="X46" s="57">
        <v>309.89999999999998</v>
      </c>
      <c r="Y46" s="57">
        <v>306</v>
      </c>
      <c r="Z46" s="50">
        <f t="shared" si="0"/>
        <v>298.7</v>
      </c>
      <c r="AA46" s="50"/>
      <c r="AB46" s="79">
        <f t="shared" si="1"/>
        <v>491</v>
      </c>
    </row>
    <row r="47" spans="1:30" s="13" customFormat="1" ht="26.25" customHeight="1" x14ac:dyDescent="0.2">
      <c r="A47" s="46" t="s">
        <v>144</v>
      </c>
      <c r="B47" s="61" t="s">
        <v>324</v>
      </c>
      <c r="C47" s="43" t="s">
        <v>29</v>
      </c>
      <c r="D47" s="53">
        <v>139.69999999999999</v>
      </c>
      <c r="E47" s="48">
        <v>4619.18</v>
      </c>
      <c r="F47" s="48">
        <f t="shared" si="3"/>
        <v>645.29899999999998</v>
      </c>
      <c r="G47" s="48">
        <v>26.2</v>
      </c>
      <c r="H47" s="48">
        <v>4619.18</v>
      </c>
      <c r="I47" s="48">
        <f t="shared" si="4"/>
        <v>121.023</v>
      </c>
      <c r="J47" s="48">
        <v>0</v>
      </c>
      <c r="K47" s="48">
        <v>4933.55</v>
      </c>
      <c r="L47" s="48">
        <f t="shared" si="5"/>
        <v>0</v>
      </c>
      <c r="M47" s="48">
        <v>80.2</v>
      </c>
      <c r="N47" s="48">
        <v>4933.55</v>
      </c>
      <c r="O47" s="48">
        <f t="shared" si="6"/>
        <v>395.67099999999999</v>
      </c>
      <c r="P47" s="48">
        <f t="shared" si="7"/>
        <v>246.09999999999997</v>
      </c>
      <c r="Q47" s="48">
        <f t="shared" si="8"/>
        <v>1161.9929999999999</v>
      </c>
      <c r="R47" s="49"/>
      <c r="S47" s="15"/>
      <c r="T47" s="54">
        <v>159.1</v>
      </c>
      <c r="U47" s="50">
        <v>151.6</v>
      </c>
      <c r="V47" s="55">
        <v>203.4</v>
      </c>
      <c r="W47" s="56">
        <v>236.89999999999998</v>
      </c>
      <c r="X47" s="57">
        <v>247.9</v>
      </c>
      <c r="Y47" s="57">
        <v>246.1</v>
      </c>
      <c r="Z47" s="50">
        <f t="shared" si="0"/>
        <v>217.2</v>
      </c>
      <c r="AA47" s="50"/>
      <c r="AB47" s="79">
        <f t="shared" si="1"/>
        <v>246.09999999999997</v>
      </c>
    </row>
    <row r="48" spans="1:30" s="13" customFormat="1" ht="26.25" customHeight="1" x14ac:dyDescent="0.2">
      <c r="A48" s="46" t="s">
        <v>145</v>
      </c>
      <c r="B48" s="61" t="s">
        <v>326</v>
      </c>
      <c r="C48" s="43" t="s">
        <v>29</v>
      </c>
      <c r="D48" s="53">
        <v>169.9</v>
      </c>
      <c r="E48" s="48">
        <v>4619.18</v>
      </c>
      <c r="F48" s="48">
        <f t="shared" si="3"/>
        <v>784.79899999999998</v>
      </c>
      <c r="G48" s="48">
        <v>20.399999999999999</v>
      </c>
      <c r="H48" s="48">
        <v>4619.18</v>
      </c>
      <c r="I48" s="48">
        <f t="shared" si="4"/>
        <v>94.230999999999995</v>
      </c>
      <c r="J48" s="48">
        <v>0</v>
      </c>
      <c r="K48" s="48">
        <v>4933.55</v>
      </c>
      <c r="L48" s="48">
        <f t="shared" si="5"/>
        <v>0</v>
      </c>
      <c r="M48" s="48">
        <v>89.4</v>
      </c>
      <c r="N48" s="48">
        <v>4933.55</v>
      </c>
      <c r="O48" s="48">
        <f t="shared" si="6"/>
        <v>441.05900000000003</v>
      </c>
      <c r="P48" s="48">
        <f t="shared" si="7"/>
        <v>279.70000000000005</v>
      </c>
      <c r="Q48" s="48">
        <f t="shared" si="8"/>
        <v>1320.0889999999999</v>
      </c>
      <c r="R48" s="60"/>
      <c r="S48" s="15"/>
      <c r="T48" s="54">
        <v>245.6</v>
      </c>
      <c r="U48" s="50">
        <v>234.7</v>
      </c>
      <c r="V48" s="55">
        <v>284.89999999999998</v>
      </c>
      <c r="W48" s="56">
        <v>271.8</v>
      </c>
      <c r="X48" s="57">
        <v>277.89999999999998</v>
      </c>
      <c r="Y48" s="57">
        <v>279.7</v>
      </c>
      <c r="Z48" s="50">
        <f t="shared" si="0"/>
        <v>269.8</v>
      </c>
      <c r="AA48" s="50"/>
      <c r="AB48" s="79">
        <f t="shared" si="1"/>
        <v>279.70000000000005</v>
      </c>
    </row>
    <row r="49" spans="1:29" s="13" customFormat="1" ht="26.25" customHeight="1" x14ac:dyDescent="0.2">
      <c r="A49" s="46" t="s">
        <v>230</v>
      </c>
      <c r="B49" s="47" t="s">
        <v>328</v>
      </c>
      <c r="C49" s="43" t="s">
        <v>29</v>
      </c>
      <c r="D49" s="53">
        <v>279.70000000000005</v>
      </c>
      <c r="E49" s="48">
        <v>4619.18</v>
      </c>
      <c r="F49" s="48">
        <f t="shared" si="3"/>
        <v>1291.9849999999999</v>
      </c>
      <c r="G49" s="53">
        <v>24.6</v>
      </c>
      <c r="H49" s="48">
        <v>4619.18</v>
      </c>
      <c r="I49" s="48">
        <f t="shared" si="4"/>
        <v>113.63200000000001</v>
      </c>
      <c r="J49" s="53">
        <v>0</v>
      </c>
      <c r="K49" s="48">
        <v>4933.55</v>
      </c>
      <c r="L49" s="48">
        <f t="shared" si="5"/>
        <v>0</v>
      </c>
      <c r="M49" s="53">
        <v>160.80000000000001</v>
      </c>
      <c r="N49" s="48">
        <v>4933.55</v>
      </c>
      <c r="O49" s="48">
        <f t="shared" si="6"/>
        <v>793.31500000000005</v>
      </c>
      <c r="P49" s="48">
        <f t="shared" si="7"/>
        <v>465.10000000000008</v>
      </c>
      <c r="Q49" s="48">
        <f t="shared" si="8"/>
        <v>2198.9319999999998</v>
      </c>
      <c r="R49" s="60"/>
      <c r="S49" s="15"/>
      <c r="T49" s="54">
        <v>488.6</v>
      </c>
      <c r="U49" s="50">
        <v>360.7</v>
      </c>
      <c r="V49" s="55">
        <v>438.3</v>
      </c>
      <c r="W49" s="56">
        <v>405.4</v>
      </c>
      <c r="X49" s="57">
        <v>424.4</v>
      </c>
      <c r="Y49" s="57">
        <v>466.4</v>
      </c>
      <c r="Z49" s="50">
        <f t="shared" si="0"/>
        <v>419</v>
      </c>
      <c r="AA49" s="50"/>
      <c r="AB49" s="79">
        <f t="shared" si="1"/>
        <v>465.10000000000008</v>
      </c>
    </row>
    <row r="50" spans="1:29" s="13" customFormat="1" ht="26.25" customHeight="1" x14ac:dyDescent="0.2">
      <c r="A50" s="46" t="s">
        <v>231</v>
      </c>
      <c r="B50" s="47" t="s">
        <v>329</v>
      </c>
      <c r="C50" s="43" t="s">
        <v>29</v>
      </c>
      <c r="D50" s="53">
        <v>235.2</v>
      </c>
      <c r="E50" s="48">
        <v>4619.18</v>
      </c>
      <c r="F50" s="48">
        <f t="shared" si="3"/>
        <v>1086.431</v>
      </c>
      <c r="G50" s="53">
        <v>42.9</v>
      </c>
      <c r="H50" s="48">
        <v>4619.18</v>
      </c>
      <c r="I50" s="48">
        <f t="shared" si="4"/>
        <v>198.16300000000001</v>
      </c>
      <c r="J50" s="53">
        <v>0</v>
      </c>
      <c r="K50" s="48">
        <v>4933.55</v>
      </c>
      <c r="L50" s="48">
        <f t="shared" si="5"/>
        <v>0</v>
      </c>
      <c r="M50" s="53">
        <v>192.2</v>
      </c>
      <c r="N50" s="48">
        <v>4933.55</v>
      </c>
      <c r="O50" s="48">
        <f t="shared" si="6"/>
        <v>948.22799999999995</v>
      </c>
      <c r="P50" s="48">
        <f t="shared" si="7"/>
        <v>470.29999999999995</v>
      </c>
      <c r="Q50" s="48">
        <f t="shared" si="8"/>
        <v>2232.8220000000001</v>
      </c>
      <c r="R50" s="49"/>
      <c r="S50" s="15"/>
      <c r="T50" s="54">
        <v>425</v>
      </c>
      <c r="U50" s="50">
        <v>326.60000000000002</v>
      </c>
      <c r="V50" s="55">
        <v>407.2</v>
      </c>
      <c r="W50" s="56">
        <v>394.4</v>
      </c>
      <c r="X50" s="57">
        <v>380.9</v>
      </c>
      <c r="Y50" s="57">
        <v>427.2</v>
      </c>
      <c r="Z50" s="50">
        <f t="shared" si="0"/>
        <v>387.3</v>
      </c>
      <c r="AA50" s="50"/>
      <c r="AB50" s="79">
        <f t="shared" si="1"/>
        <v>470.29999999999995</v>
      </c>
    </row>
    <row r="51" spans="1:29" s="13" customFormat="1" ht="26.25" customHeight="1" x14ac:dyDescent="0.2">
      <c r="A51" s="46" t="s">
        <v>232</v>
      </c>
      <c r="B51" s="47" t="s">
        <v>330</v>
      </c>
      <c r="C51" s="43" t="s">
        <v>29</v>
      </c>
      <c r="D51" s="53">
        <v>129.80000000000001</v>
      </c>
      <c r="E51" s="48">
        <v>4619.18</v>
      </c>
      <c r="F51" s="48">
        <f t="shared" si="3"/>
        <v>599.57000000000005</v>
      </c>
      <c r="G51" s="53">
        <v>20.6</v>
      </c>
      <c r="H51" s="48">
        <v>4619.18</v>
      </c>
      <c r="I51" s="48">
        <f t="shared" si="4"/>
        <v>95.155000000000001</v>
      </c>
      <c r="J51" s="53">
        <v>0</v>
      </c>
      <c r="K51" s="48">
        <v>4933.55</v>
      </c>
      <c r="L51" s="48">
        <f t="shared" si="5"/>
        <v>0</v>
      </c>
      <c r="M51" s="53">
        <v>73.099999999999994</v>
      </c>
      <c r="N51" s="48">
        <v>4933.55</v>
      </c>
      <c r="O51" s="48">
        <f t="shared" si="6"/>
        <v>360.64299999999997</v>
      </c>
      <c r="P51" s="48">
        <f t="shared" si="7"/>
        <v>223.5</v>
      </c>
      <c r="Q51" s="48">
        <f t="shared" si="8"/>
        <v>1055.3679999999999</v>
      </c>
      <c r="R51" s="60"/>
      <c r="S51" s="15"/>
      <c r="T51" s="54">
        <v>214</v>
      </c>
      <c r="U51" s="50">
        <v>214.6</v>
      </c>
      <c r="V51" s="55">
        <v>261.8</v>
      </c>
      <c r="W51" s="56">
        <v>205.2</v>
      </c>
      <c r="X51" s="57">
        <v>227.60000000000002</v>
      </c>
      <c r="Y51" s="57">
        <v>208.4</v>
      </c>
      <c r="Z51" s="50">
        <f t="shared" si="0"/>
        <v>223.5</v>
      </c>
      <c r="AA51" s="50"/>
      <c r="AB51" s="79">
        <f t="shared" si="1"/>
        <v>223.5</v>
      </c>
    </row>
    <row r="52" spans="1:29" s="13" customFormat="1" ht="26.25" customHeight="1" x14ac:dyDescent="0.2">
      <c r="A52" s="46" t="s">
        <v>233</v>
      </c>
      <c r="B52" s="47" t="s">
        <v>331</v>
      </c>
      <c r="C52" s="43" t="s">
        <v>29</v>
      </c>
      <c r="D52" s="53">
        <v>155.5</v>
      </c>
      <c r="E52" s="48">
        <v>4619.18</v>
      </c>
      <c r="F52" s="48">
        <f t="shared" si="3"/>
        <v>718.28200000000004</v>
      </c>
      <c r="G52" s="53">
        <v>22.8</v>
      </c>
      <c r="H52" s="48">
        <v>4619.18</v>
      </c>
      <c r="I52" s="48">
        <f t="shared" si="4"/>
        <v>105.31699999999999</v>
      </c>
      <c r="J52" s="53">
        <v>0</v>
      </c>
      <c r="K52" s="48">
        <v>4933.55</v>
      </c>
      <c r="L52" s="48">
        <f t="shared" si="5"/>
        <v>0</v>
      </c>
      <c r="M52" s="53">
        <v>127.9</v>
      </c>
      <c r="N52" s="48">
        <v>4933.55</v>
      </c>
      <c r="O52" s="48">
        <f t="shared" si="6"/>
        <v>631.00099999999998</v>
      </c>
      <c r="P52" s="48">
        <f t="shared" si="7"/>
        <v>306.20000000000005</v>
      </c>
      <c r="Q52" s="48">
        <f t="shared" si="8"/>
        <v>1454.6</v>
      </c>
      <c r="R52" s="49"/>
      <c r="S52" s="15"/>
      <c r="T52" s="54">
        <v>238.5</v>
      </c>
      <c r="U52" s="50">
        <v>196.7</v>
      </c>
      <c r="V52" s="55">
        <v>270.60000000000002</v>
      </c>
      <c r="W52" s="56">
        <v>244.1</v>
      </c>
      <c r="X52" s="57">
        <v>215.81900000000002</v>
      </c>
      <c r="Y52" s="57">
        <v>259.39999999999998</v>
      </c>
      <c r="Z52" s="50">
        <f t="shared" si="0"/>
        <v>237.3</v>
      </c>
      <c r="AA52" s="50"/>
      <c r="AB52" s="79">
        <f t="shared" si="1"/>
        <v>306.20000000000005</v>
      </c>
    </row>
    <row r="53" spans="1:29" s="13" customFormat="1" ht="26.25" customHeight="1" x14ac:dyDescent="0.2">
      <c r="A53" s="46" t="s">
        <v>234</v>
      </c>
      <c r="B53" s="47" t="s">
        <v>332</v>
      </c>
      <c r="C53" s="43" t="s">
        <v>29</v>
      </c>
      <c r="D53" s="53">
        <v>52.3</v>
      </c>
      <c r="E53" s="48">
        <v>4619.18</v>
      </c>
      <c r="F53" s="48">
        <f t="shared" si="3"/>
        <v>241.583</v>
      </c>
      <c r="G53" s="53">
        <v>6.7</v>
      </c>
      <c r="H53" s="48">
        <v>4619.18</v>
      </c>
      <c r="I53" s="48">
        <f t="shared" si="4"/>
        <v>30.949000000000002</v>
      </c>
      <c r="J53" s="53">
        <v>0</v>
      </c>
      <c r="K53" s="48">
        <v>4933.55</v>
      </c>
      <c r="L53" s="48">
        <f t="shared" si="5"/>
        <v>0</v>
      </c>
      <c r="M53" s="53">
        <v>51.2</v>
      </c>
      <c r="N53" s="48">
        <v>4933.55</v>
      </c>
      <c r="O53" s="48">
        <f t="shared" si="6"/>
        <v>252.59800000000001</v>
      </c>
      <c r="P53" s="48">
        <f t="shared" si="7"/>
        <v>110.2</v>
      </c>
      <c r="Q53" s="48">
        <f t="shared" si="8"/>
        <v>525.13</v>
      </c>
      <c r="R53" s="49"/>
      <c r="S53" s="15"/>
      <c r="T53" s="54">
        <v>107.5</v>
      </c>
      <c r="U53" s="50">
        <v>83</v>
      </c>
      <c r="V53" s="55">
        <v>95.7</v>
      </c>
      <c r="W53" s="56">
        <v>87.7</v>
      </c>
      <c r="X53" s="57">
        <v>88.4</v>
      </c>
      <c r="Y53" s="57">
        <v>93.5</v>
      </c>
      <c r="Z53" s="50">
        <f t="shared" si="0"/>
        <v>89.7</v>
      </c>
      <c r="AA53" s="50"/>
      <c r="AB53" s="79">
        <f t="shared" si="1"/>
        <v>110.2</v>
      </c>
    </row>
    <row r="54" spans="1:29" s="13" customFormat="1" ht="26.25" customHeight="1" x14ac:dyDescent="0.2">
      <c r="A54" s="46" t="s">
        <v>235</v>
      </c>
      <c r="B54" s="61" t="s">
        <v>334</v>
      </c>
      <c r="C54" s="43" t="s">
        <v>29</v>
      </c>
      <c r="D54" s="53">
        <v>197</v>
      </c>
      <c r="E54" s="48">
        <v>4619.18</v>
      </c>
      <c r="F54" s="48">
        <f t="shared" si="3"/>
        <v>909.97799999999995</v>
      </c>
      <c r="G54" s="48">
        <v>32.200000000000003</v>
      </c>
      <c r="H54" s="48">
        <v>4619.18</v>
      </c>
      <c r="I54" s="48">
        <f t="shared" si="4"/>
        <v>148.738</v>
      </c>
      <c r="J54" s="48">
        <v>0</v>
      </c>
      <c r="K54" s="48">
        <v>4933.55</v>
      </c>
      <c r="L54" s="48">
        <f t="shared" si="5"/>
        <v>0</v>
      </c>
      <c r="M54" s="48">
        <v>104.4</v>
      </c>
      <c r="N54" s="48">
        <v>4933.55</v>
      </c>
      <c r="O54" s="48">
        <f t="shared" si="6"/>
        <v>515.06299999999999</v>
      </c>
      <c r="P54" s="48">
        <f t="shared" si="7"/>
        <v>333.6</v>
      </c>
      <c r="Q54" s="48">
        <f t="shared" si="8"/>
        <v>1573.779</v>
      </c>
      <c r="R54" s="60">
        <v>3</v>
      </c>
      <c r="S54" s="15"/>
      <c r="T54" s="54">
        <v>341.6</v>
      </c>
      <c r="U54" s="50">
        <v>284.89999999999998</v>
      </c>
      <c r="V54" s="55">
        <v>363.6</v>
      </c>
      <c r="W54" s="56">
        <v>299.20000000000005</v>
      </c>
      <c r="X54" s="57">
        <v>343.20000000000005</v>
      </c>
      <c r="Y54" s="57">
        <v>339.8</v>
      </c>
      <c r="Z54" s="50">
        <f t="shared" si="0"/>
        <v>326.10000000000002</v>
      </c>
      <c r="AA54" s="50"/>
      <c r="AB54" s="79">
        <f t="shared" si="1"/>
        <v>333.6</v>
      </c>
    </row>
    <row r="55" spans="1:29" s="13" customFormat="1" ht="26.25" customHeight="1" x14ac:dyDescent="0.2">
      <c r="A55" s="46" t="s">
        <v>236</v>
      </c>
      <c r="B55" s="61" t="s">
        <v>335</v>
      </c>
      <c r="C55" s="43" t="s">
        <v>29</v>
      </c>
      <c r="D55" s="53">
        <v>164.9</v>
      </c>
      <c r="E55" s="48">
        <v>4619.18</v>
      </c>
      <c r="F55" s="48">
        <f t="shared" si="3"/>
        <v>761.70299999999997</v>
      </c>
      <c r="G55" s="48">
        <v>16.8</v>
      </c>
      <c r="H55" s="48">
        <v>4619.18</v>
      </c>
      <c r="I55" s="48">
        <f t="shared" si="4"/>
        <v>77.602000000000004</v>
      </c>
      <c r="J55" s="48">
        <v>0</v>
      </c>
      <c r="K55" s="48">
        <v>4933.55</v>
      </c>
      <c r="L55" s="48">
        <f t="shared" si="5"/>
        <v>0</v>
      </c>
      <c r="M55" s="48">
        <v>239.4</v>
      </c>
      <c r="N55" s="48">
        <v>4933.55</v>
      </c>
      <c r="O55" s="48">
        <f t="shared" si="6"/>
        <v>1181.0920000000001</v>
      </c>
      <c r="P55" s="48">
        <f t="shared" si="7"/>
        <v>421.1</v>
      </c>
      <c r="Q55" s="48">
        <f t="shared" si="8"/>
        <v>2020.3969999999999</v>
      </c>
      <c r="R55" s="49"/>
      <c r="S55" s="15"/>
      <c r="T55" s="54">
        <v>351.2</v>
      </c>
      <c r="U55" s="50">
        <v>345.2</v>
      </c>
      <c r="V55" s="55">
        <v>378.5</v>
      </c>
      <c r="W55" s="56">
        <v>299.2</v>
      </c>
      <c r="X55" s="57">
        <v>324.10000000000002</v>
      </c>
      <c r="Y55" s="57">
        <v>308.5</v>
      </c>
      <c r="Z55" s="50">
        <f t="shared" si="0"/>
        <v>331.1</v>
      </c>
      <c r="AA55" s="50"/>
      <c r="AB55" s="79">
        <f t="shared" si="1"/>
        <v>421.1</v>
      </c>
    </row>
    <row r="56" spans="1:29" s="13" customFormat="1" ht="26.25" customHeight="1" x14ac:dyDescent="0.2">
      <c r="A56" s="46" t="s">
        <v>237</v>
      </c>
      <c r="B56" s="47" t="s">
        <v>106</v>
      </c>
      <c r="C56" s="43" t="s">
        <v>29</v>
      </c>
      <c r="D56" s="53">
        <v>53.2</v>
      </c>
      <c r="E56" s="48">
        <v>4619.18</v>
      </c>
      <c r="F56" s="48">
        <f t="shared" si="3"/>
        <v>245.74</v>
      </c>
      <c r="G56" s="48">
        <v>6.8</v>
      </c>
      <c r="H56" s="48">
        <v>4619.18</v>
      </c>
      <c r="I56" s="48">
        <f t="shared" si="4"/>
        <v>31.41</v>
      </c>
      <c r="J56" s="48">
        <v>0</v>
      </c>
      <c r="K56" s="48">
        <v>4933.55</v>
      </c>
      <c r="L56" s="48">
        <f t="shared" si="5"/>
        <v>0</v>
      </c>
      <c r="M56" s="48">
        <v>29.400000000000002</v>
      </c>
      <c r="N56" s="48">
        <v>4933.55</v>
      </c>
      <c r="O56" s="48">
        <f t="shared" si="6"/>
        <v>145.04599999999999</v>
      </c>
      <c r="P56" s="48">
        <f t="shared" si="7"/>
        <v>89.4</v>
      </c>
      <c r="Q56" s="48">
        <f t="shared" si="8"/>
        <v>422.19600000000003</v>
      </c>
      <c r="R56" s="49"/>
      <c r="S56" s="15"/>
      <c r="T56" s="54">
        <v>95.5</v>
      </c>
      <c r="U56" s="50">
        <v>77.599999999999994</v>
      </c>
      <c r="V56" s="55">
        <v>96.9</v>
      </c>
      <c r="W56" s="62">
        <v>75.400000000000006</v>
      </c>
      <c r="X56" s="63">
        <v>78.100000000000009</v>
      </c>
      <c r="Y56" s="63">
        <v>91</v>
      </c>
      <c r="Z56" s="50">
        <f t="shared" si="0"/>
        <v>83.8</v>
      </c>
      <c r="AA56" s="50"/>
      <c r="AB56" s="79">
        <f t="shared" si="1"/>
        <v>89.4</v>
      </c>
    </row>
    <row r="57" spans="1:29" s="13" customFormat="1" ht="26.25" customHeight="1" x14ac:dyDescent="0.2">
      <c r="A57" s="46" t="s">
        <v>238</v>
      </c>
      <c r="B57" s="47" t="s">
        <v>277</v>
      </c>
      <c r="C57" s="179" t="s">
        <v>29</v>
      </c>
      <c r="D57" s="53">
        <v>19.8</v>
      </c>
      <c r="E57" s="48">
        <v>4619.18</v>
      </c>
      <c r="F57" s="48">
        <f t="shared" si="3"/>
        <v>91.46</v>
      </c>
      <c r="G57" s="53">
        <v>2.1</v>
      </c>
      <c r="H57" s="48">
        <v>4619.18</v>
      </c>
      <c r="I57" s="48">
        <f t="shared" si="4"/>
        <v>9.6999999999999993</v>
      </c>
      <c r="J57" s="53">
        <v>0</v>
      </c>
      <c r="K57" s="48">
        <v>4933.55</v>
      </c>
      <c r="L57" s="48">
        <f t="shared" si="5"/>
        <v>0</v>
      </c>
      <c r="M57" s="53">
        <v>28.78</v>
      </c>
      <c r="N57" s="48">
        <v>4933.55</v>
      </c>
      <c r="O57" s="48">
        <f t="shared" si="6"/>
        <v>141.988</v>
      </c>
      <c r="P57" s="48">
        <f t="shared" si="7"/>
        <v>50.680000000000007</v>
      </c>
      <c r="Q57" s="48">
        <f>F57+I57+L57+O57</f>
        <v>243.148</v>
      </c>
      <c r="R57" s="60"/>
      <c r="S57" s="15"/>
      <c r="T57" s="54">
        <v>38.6</v>
      </c>
      <c r="U57" s="50">
        <v>30</v>
      </c>
      <c r="V57" s="55">
        <v>36.700000000000003</v>
      </c>
      <c r="W57" s="56">
        <v>33.9</v>
      </c>
      <c r="X57" s="57">
        <v>32.5</v>
      </c>
      <c r="Y57" s="57">
        <v>27.8</v>
      </c>
      <c r="Z57" s="50">
        <f t="shared" si="0"/>
        <v>32.200000000000003</v>
      </c>
      <c r="AA57" s="50"/>
      <c r="AB57" s="79">
        <f t="shared" si="1"/>
        <v>50.680000000000007</v>
      </c>
    </row>
    <row r="58" spans="1:29" s="13" customFormat="1" ht="26.25" customHeight="1" x14ac:dyDescent="0.2">
      <c r="A58" s="46" t="s">
        <v>239</v>
      </c>
      <c r="B58" s="47" t="s">
        <v>270</v>
      </c>
      <c r="C58" s="43" t="s">
        <v>29</v>
      </c>
      <c r="D58" s="53">
        <v>53</v>
      </c>
      <c r="E58" s="48">
        <v>4619.18</v>
      </c>
      <c r="F58" s="48">
        <f t="shared" si="3"/>
        <v>244.81700000000001</v>
      </c>
      <c r="G58" s="48">
        <v>4</v>
      </c>
      <c r="H58" s="48">
        <v>4619.18</v>
      </c>
      <c r="I58" s="48">
        <f t="shared" si="4"/>
        <v>18.477</v>
      </c>
      <c r="J58" s="48">
        <v>0</v>
      </c>
      <c r="K58" s="48">
        <v>4933.55</v>
      </c>
      <c r="L58" s="48">
        <f t="shared" si="5"/>
        <v>0</v>
      </c>
      <c r="M58" s="48">
        <v>35</v>
      </c>
      <c r="N58" s="48">
        <v>4933.55</v>
      </c>
      <c r="O58" s="48">
        <f t="shared" si="6"/>
        <v>172.67400000000001</v>
      </c>
      <c r="P58" s="48">
        <f t="shared" si="7"/>
        <v>92</v>
      </c>
      <c r="Q58" s="48">
        <f>F58+I58+L58+O58</f>
        <v>435.96799999999996</v>
      </c>
      <c r="R58" s="49"/>
      <c r="S58" s="15"/>
      <c r="T58" s="54">
        <v>96.3</v>
      </c>
      <c r="U58" s="50">
        <v>73.599999999999994</v>
      </c>
      <c r="V58" s="55">
        <v>93.7</v>
      </c>
      <c r="W58" s="56">
        <v>68.699999999999989</v>
      </c>
      <c r="X58" s="57">
        <v>82.7</v>
      </c>
      <c r="Y58" s="57">
        <v>80.5</v>
      </c>
      <c r="Z58" s="50">
        <f t="shared" si="0"/>
        <v>79.8</v>
      </c>
      <c r="AA58" s="50"/>
      <c r="AB58" s="79">
        <f t="shared" si="1"/>
        <v>92</v>
      </c>
    </row>
    <row r="59" spans="1:29" s="13" customFormat="1" ht="26.25" customHeight="1" x14ac:dyDescent="0.2">
      <c r="A59" s="46" t="s">
        <v>271</v>
      </c>
      <c r="B59" s="47" t="s">
        <v>70</v>
      </c>
      <c r="C59" s="43" t="s">
        <v>29</v>
      </c>
      <c r="D59" s="53">
        <v>34.9</v>
      </c>
      <c r="E59" s="48">
        <v>4619.18</v>
      </c>
      <c r="F59" s="48">
        <f t="shared" si="3"/>
        <v>161.209</v>
      </c>
      <c r="G59" s="48">
        <v>2.8</v>
      </c>
      <c r="H59" s="48">
        <v>4619.18</v>
      </c>
      <c r="I59" s="48">
        <f t="shared" si="4"/>
        <v>12.933999999999999</v>
      </c>
      <c r="J59" s="48">
        <v>0</v>
      </c>
      <c r="K59" s="48">
        <v>4933.55</v>
      </c>
      <c r="L59" s="48">
        <f t="shared" si="5"/>
        <v>0</v>
      </c>
      <c r="M59" s="48">
        <v>29.8</v>
      </c>
      <c r="N59" s="48">
        <v>4933.55</v>
      </c>
      <c r="O59" s="48">
        <f t="shared" si="6"/>
        <v>147.02000000000001</v>
      </c>
      <c r="P59" s="48">
        <f t="shared" si="7"/>
        <v>67.5</v>
      </c>
      <c r="Q59" s="48">
        <f t="shared" si="8"/>
        <v>321.16300000000001</v>
      </c>
      <c r="R59" s="60"/>
      <c r="S59" s="15"/>
      <c r="T59" s="54">
        <v>44.7</v>
      </c>
      <c r="U59" s="50">
        <v>31.7</v>
      </c>
      <c r="V59" s="55">
        <v>47</v>
      </c>
      <c r="W59" s="56">
        <v>42.5</v>
      </c>
      <c r="X59" s="57">
        <v>58.2</v>
      </c>
      <c r="Y59" s="57">
        <v>65.3</v>
      </c>
      <c r="Z59" s="50">
        <f t="shared" si="0"/>
        <v>48.9</v>
      </c>
      <c r="AA59" s="50"/>
      <c r="AB59" s="79">
        <f t="shared" si="1"/>
        <v>67.5</v>
      </c>
      <c r="AC59" s="13" t="s">
        <v>260</v>
      </c>
    </row>
    <row r="60" spans="1:29" s="13" customFormat="1" ht="27.75" customHeight="1" x14ac:dyDescent="0.2">
      <c r="A60" s="46" t="s">
        <v>146</v>
      </c>
      <c r="B60" s="47" t="s">
        <v>57</v>
      </c>
      <c r="C60" s="179"/>
      <c r="D60" s="53">
        <f>SUM(D61:D66)</f>
        <v>327.166</v>
      </c>
      <c r="E60" s="48"/>
      <c r="F60" s="53">
        <f>ROUND(SUM(F61:F66),3)</f>
        <v>1511.239</v>
      </c>
      <c r="G60" s="53">
        <f>SUM(G61:G66)</f>
        <v>69.165999999999997</v>
      </c>
      <c r="H60" s="48"/>
      <c r="I60" s="53">
        <f>ROUND(SUM(I61:I66),3)</f>
        <v>319.48899999999998</v>
      </c>
      <c r="J60" s="53">
        <f>SUM(J61:J65)</f>
        <v>0</v>
      </c>
      <c r="K60" s="48"/>
      <c r="L60" s="53">
        <f>ROUND(SUM(L61:L65),3)</f>
        <v>0</v>
      </c>
      <c r="M60" s="53">
        <f>SUM(M61:M66)</f>
        <v>240.14800000000002</v>
      </c>
      <c r="N60" s="48"/>
      <c r="O60" s="53">
        <f>ROUND(SUM(O61:O66),3)</f>
        <v>1184.7819999999999</v>
      </c>
      <c r="P60" s="53">
        <f>P61+P62+P63+P64+P65+P66</f>
        <v>636.48</v>
      </c>
      <c r="Q60" s="53">
        <f>Q61+Q62+Q63+Q64+Q65+Q66</f>
        <v>3015.51</v>
      </c>
      <c r="R60" s="64"/>
      <c r="S60" s="15"/>
      <c r="T60" s="51"/>
      <c r="U60" s="51"/>
      <c r="V60" s="51"/>
      <c r="W60" s="65"/>
      <c r="X60" s="50"/>
      <c r="Y60" s="50"/>
      <c r="Z60" s="50"/>
      <c r="AA60" s="50"/>
      <c r="AB60" s="79">
        <f t="shared" si="1"/>
        <v>636.48</v>
      </c>
    </row>
    <row r="61" spans="1:29" ht="28.5" customHeight="1" x14ac:dyDescent="0.2">
      <c r="A61" s="46" t="s">
        <v>147</v>
      </c>
      <c r="B61" s="80" t="s">
        <v>276</v>
      </c>
      <c r="C61" s="81" t="s">
        <v>29</v>
      </c>
      <c r="D61" s="82">
        <v>89.4</v>
      </c>
      <c r="E61" s="48">
        <v>4619.18</v>
      </c>
      <c r="F61" s="83">
        <f t="shared" ref="F61:F69" si="9">ROUND((D61*E61/1000),3)</f>
        <v>412.95499999999998</v>
      </c>
      <c r="G61" s="82">
        <v>10.4</v>
      </c>
      <c r="H61" s="48">
        <v>4619.18</v>
      </c>
      <c r="I61" s="83">
        <f t="shared" ref="I61:I69" si="10">ROUND((G61*H61/1000),3)</f>
        <v>48.039000000000001</v>
      </c>
      <c r="J61" s="82">
        <v>0</v>
      </c>
      <c r="K61" s="48">
        <v>4933.55</v>
      </c>
      <c r="L61" s="83">
        <f t="shared" ref="L61:L69" si="11">ROUND((J61*K61/1000),3)</f>
        <v>0</v>
      </c>
      <c r="M61" s="82">
        <v>46.872999999999998</v>
      </c>
      <c r="N61" s="48">
        <v>4933.55</v>
      </c>
      <c r="O61" s="83">
        <f t="shared" ref="O61:O69" si="12">ROUND((M61*N61/1000),3)</f>
        <v>231.25</v>
      </c>
      <c r="P61" s="83">
        <f t="shared" ref="P61:P67" si="13">D61+G61+J61+M61</f>
        <v>146.673</v>
      </c>
      <c r="Q61" s="83">
        <f t="shared" si="8"/>
        <v>692.24399999999991</v>
      </c>
      <c r="R61" s="60"/>
      <c r="S61" s="16"/>
      <c r="T61" s="50">
        <v>155</v>
      </c>
      <c r="U61" s="50">
        <v>153</v>
      </c>
      <c r="V61" s="55">
        <v>176.4</v>
      </c>
      <c r="W61" s="65">
        <v>141.30000000000001</v>
      </c>
      <c r="X61" s="50">
        <v>140.69999999999999</v>
      </c>
      <c r="Y61" s="50">
        <v>158.9</v>
      </c>
      <c r="Z61" s="50">
        <f t="shared" ref="Z61:Z69" si="14">ROUND(((U61+V61+W61+X61+Y61)/5),1)</f>
        <v>154.1</v>
      </c>
      <c r="AA61" s="50">
        <v>137.5</v>
      </c>
      <c r="AB61" s="79">
        <f t="shared" si="1"/>
        <v>9.1730000000000018</v>
      </c>
    </row>
    <row r="62" spans="1:29" ht="28.5" customHeight="1" x14ac:dyDescent="0.2">
      <c r="A62" s="46" t="s">
        <v>148</v>
      </c>
      <c r="B62" s="47" t="s">
        <v>361</v>
      </c>
      <c r="C62" s="179" t="s">
        <v>29</v>
      </c>
      <c r="D62" s="53">
        <v>81.266000000000005</v>
      </c>
      <c r="E62" s="48">
        <v>4619.18</v>
      </c>
      <c r="F62" s="83">
        <f t="shared" si="9"/>
        <v>375.38200000000001</v>
      </c>
      <c r="G62" s="53">
        <v>26.666</v>
      </c>
      <c r="H62" s="48">
        <v>4619.18</v>
      </c>
      <c r="I62" s="83">
        <f t="shared" si="10"/>
        <v>123.175</v>
      </c>
      <c r="J62" s="53">
        <v>0</v>
      </c>
      <c r="K62" s="48">
        <v>4933.55</v>
      </c>
      <c r="L62" s="83">
        <f t="shared" si="11"/>
        <v>0</v>
      </c>
      <c r="M62" s="53">
        <v>84.067999999999998</v>
      </c>
      <c r="N62" s="48">
        <v>4933.55</v>
      </c>
      <c r="O62" s="83">
        <f t="shared" si="12"/>
        <v>414.75400000000002</v>
      </c>
      <c r="P62" s="48">
        <f t="shared" si="13"/>
        <v>192</v>
      </c>
      <c r="Q62" s="48">
        <f t="shared" si="8"/>
        <v>913.31100000000004</v>
      </c>
      <c r="R62" s="49"/>
      <c r="T62" s="50">
        <v>140.80000000000001</v>
      </c>
      <c r="U62" s="50">
        <v>144.9</v>
      </c>
      <c r="V62" s="55">
        <v>152.4</v>
      </c>
      <c r="W62" s="65">
        <v>126.2</v>
      </c>
      <c r="X62" s="50">
        <v>138.1</v>
      </c>
      <c r="Y62" s="50">
        <v>147.30000000000001</v>
      </c>
      <c r="Z62" s="50">
        <f t="shared" si="14"/>
        <v>141.80000000000001</v>
      </c>
      <c r="AA62" s="50">
        <v>122.9</v>
      </c>
      <c r="AB62" s="79">
        <f t="shared" si="1"/>
        <v>69.099999999999994</v>
      </c>
    </row>
    <row r="63" spans="1:29" s="156" customFormat="1" ht="18.75" customHeight="1" x14ac:dyDescent="0.2">
      <c r="A63" s="46" t="s">
        <v>156</v>
      </c>
      <c r="B63" s="47" t="s">
        <v>362</v>
      </c>
      <c r="C63" s="179" t="s">
        <v>29</v>
      </c>
      <c r="D63" s="53">
        <v>56.7</v>
      </c>
      <c r="E63" s="48">
        <v>4619.18</v>
      </c>
      <c r="F63" s="83">
        <f t="shared" si="9"/>
        <v>261.90800000000002</v>
      </c>
      <c r="G63" s="53">
        <v>4.5</v>
      </c>
      <c r="H63" s="48">
        <v>4619.18</v>
      </c>
      <c r="I63" s="83">
        <f t="shared" si="10"/>
        <v>20.786000000000001</v>
      </c>
      <c r="J63" s="53">
        <v>0</v>
      </c>
      <c r="K63" s="48">
        <v>4933.55</v>
      </c>
      <c r="L63" s="83">
        <f t="shared" si="11"/>
        <v>0</v>
      </c>
      <c r="M63" s="53">
        <v>36.700000000000003</v>
      </c>
      <c r="N63" s="48">
        <v>4933.55</v>
      </c>
      <c r="O63" s="83">
        <f t="shared" si="12"/>
        <v>181.06100000000001</v>
      </c>
      <c r="P63" s="48">
        <f t="shared" si="13"/>
        <v>97.9</v>
      </c>
      <c r="Q63" s="48">
        <f t="shared" si="8"/>
        <v>463.755</v>
      </c>
      <c r="R63" s="49"/>
      <c r="T63" s="160">
        <v>87.6</v>
      </c>
      <c r="U63" s="160">
        <v>93.5</v>
      </c>
      <c r="V63" s="161">
        <v>98.3</v>
      </c>
      <c r="W63" s="162">
        <v>73.400000000000006</v>
      </c>
      <c r="X63" s="160">
        <v>75.099999999999994</v>
      </c>
      <c r="Y63" s="160">
        <v>80.8</v>
      </c>
      <c r="Z63" s="160">
        <f t="shared" si="14"/>
        <v>84.2</v>
      </c>
      <c r="AA63" s="160">
        <v>69.7</v>
      </c>
      <c r="AB63" s="163">
        <f t="shared" si="1"/>
        <v>28.200000000000003</v>
      </c>
    </row>
    <row r="64" spans="1:29" s="156" customFormat="1" ht="21.75" customHeight="1" x14ac:dyDescent="0.2">
      <c r="A64" s="46" t="s">
        <v>157</v>
      </c>
      <c r="B64" s="47" t="s">
        <v>363</v>
      </c>
      <c r="C64" s="179" t="s">
        <v>29</v>
      </c>
      <c r="D64" s="53">
        <v>12.8</v>
      </c>
      <c r="E64" s="48">
        <v>4619.18</v>
      </c>
      <c r="F64" s="83">
        <f t="shared" si="9"/>
        <v>59.125999999999998</v>
      </c>
      <c r="G64" s="53">
        <v>1.3</v>
      </c>
      <c r="H64" s="48">
        <v>4619.18</v>
      </c>
      <c r="I64" s="83">
        <f t="shared" si="10"/>
        <v>6.0049999999999999</v>
      </c>
      <c r="J64" s="53">
        <v>0</v>
      </c>
      <c r="K64" s="48">
        <v>4933.55</v>
      </c>
      <c r="L64" s="83">
        <f t="shared" si="11"/>
        <v>0</v>
      </c>
      <c r="M64" s="53">
        <v>7</v>
      </c>
      <c r="N64" s="48">
        <v>4933.55</v>
      </c>
      <c r="O64" s="83">
        <f t="shared" si="12"/>
        <v>34.534999999999997</v>
      </c>
      <c r="P64" s="48">
        <f>D64+G64+J64+M64</f>
        <v>21.1</v>
      </c>
      <c r="Q64" s="48">
        <f>F64+I64+L64+O64</f>
        <v>99.665999999999997</v>
      </c>
      <c r="R64" s="49"/>
      <c r="T64" s="160">
        <v>18.7</v>
      </c>
      <c r="U64" s="160">
        <v>14.1</v>
      </c>
      <c r="V64" s="161">
        <v>16</v>
      </c>
      <c r="W64" s="162">
        <v>13.9</v>
      </c>
      <c r="X64" s="160">
        <v>13.2</v>
      </c>
      <c r="Y64" s="160">
        <v>14.6</v>
      </c>
      <c r="Z64" s="160">
        <f t="shared" si="14"/>
        <v>14.4</v>
      </c>
      <c r="AA64" s="160">
        <v>20.8</v>
      </c>
      <c r="AB64" s="163">
        <f t="shared" si="1"/>
        <v>0.30000000000000071</v>
      </c>
    </row>
    <row r="65" spans="1:44" s="156" customFormat="1" ht="23.25" customHeight="1" x14ac:dyDescent="0.2">
      <c r="A65" s="46" t="s">
        <v>158</v>
      </c>
      <c r="B65" s="47" t="s">
        <v>364</v>
      </c>
      <c r="C65" s="179" t="s">
        <v>29</v>
      </c>
      <c r="D65" s="53">
        <v>66.5</v>
      </c>
      <c r="E65" s="48">
        <v>4619.18</v>
      </c>
      <c r="F65" s="83">
        <f t="shared" si="9"/>
        <v>307.17500000000001</v>
      </c>
      <c r="G65" s="53">
        <v>5.8</v>
      </c>
      <c r="H65" s="48">
        <v>4619.18</v>
      </c>
      <c r="I65" s="83">
        <f t="shared" si="10"/>
        <v>26.791</v>
      </c>
      <c r="J65" s="53">
        <v>0</v>
      </c>
      <c r="K65" s="48">
        <v>4933.55</v>
      </c>
      <c r="L65" s="83">
        <f t="shared" si="11"/>
        <v>0</v>
      </c>
      <c r="M65" s="53">
        <v>45</v>
      </c>
      <c r="N65" s="48">
        <v>4933.55</v>
      </c>
      <c r="O65" s="83">
        <f t="shared" si="12"/>
        <v>222.01</v>
      </c>
      <c r="P65" s="48">
        <f t="shared" si="13"/>
        <v>117.3</v>
      </c>
      <c r="Q65" s="48">
        <f t="shared" si="8"/>
        <v>555.976</v>
      </c>
      <c r="R65" s="49"/>
      <c r="T65" s="160">
        <v>98.4</v>
      </c>
      <c r="U65" s="160">
        <v>100.4</v>
      </c>
      <c r="V65" s="161">
        <v>111.1</v>
      </c>
      <c r="W65" s="162">
        <v>86.3</v>
      </c>
      <c r="X65" s="160">
        <v>90.9</v>
      </c>
      <c r="Y65" s="160">
        <v>98.4</v>
      </c>
      <c r="Z65" s="160">
        <f t="shared" si="14"/>
        <v>97.4</v>
      </c>
      <c r="AA65" s="160">
        <v>91.2</v>
      </c>
      <c r="AB65" s="163">
        <f t="shared" si="1"/>
        <v>26.099999999999994</v>
      </c>
    </row>
    <row r="66" spans="1:44" s="156" customFormat="1" ht="25.5" customHeight="1" x14ac:dyDescent="0.2">
      <c r="A66" s="46" t="s">
        <v>159</v>
      </c>
      <c r="B66" s="47" t="s">
        <v>365</v>
      </c>
      <c r="C66" s="179" t="s">
        <v>29</v>
      </c>
      <c r="D66" s="53">
        <v>20.5</v>
      </c>
      <c r="E66" s="48">
        <v>4619.18</v>
      </c>
      <c r="F66" s="83">
        <v>94.692999999999998</v>
      </c>
      <c r="G66" s="53">
        <v>20.5</v>
      </c>
      <c r="H66" s="48">
        <v>4619.18</v>
      </c>
      <c r="I66" s="83">
        <v>94.692999999999998</v>
      </c>
      <c r="J66" s="53">
        <v>0</v>
      </c>
      <c r="K66" s="48">
        <v>4933.55</v>
      </c>
      <c r="L66" s="83">
        <v>0</v>
      </c>
      <c r="M66" s="53">
        <v>20.507000000000001</v>
      </c>
      <c r="N66" s="48">
        <v>4933.55</v>
      </c>
      <c r="O66" s="83">
        <v>101.172</v>
      </c>
      <c r="P66" s="48">
        <v>61.507000000000005</v>
      </c>
      <c r="Q66" s="48">
        <v>290.55799999999999</v>
      </c>
      <c r="R66" s="49"/>
      <c r="T66" s="160"/>
      <c r="U66" s="160"/>
      <c r="V66" s="161"/>
      <c r="W66" s="162"/>
      <c r="X66" s="160"/>
      <c r="Y66" s="160"/>
      <c r="Z66" s="160"/>
      <c r="AA66" s="160"/>
      <c r="AB66" s="163"/>
    </row>
    <row r="67" spans="1:44" s="164" customFormat="1" ht="24.75" customHeight="1" x14ac:dyDescent="0.2">
      <c r="A67" s="46" t="s">
        <v>149</v>
      </c>
      <c r="B67" s="47" t="s">
        <v>19</v>
      </c>
      <c r="C67" s="179" t="s">
        <v>29</v>
      </c>
      <c r="D67" s="48">
        <v>276.10000000000002</v>
      </c>
      <c r="E67" s="48">
        <v>4619.18</v>
      </c>
      <c r="F67" s="48">
        <f t="shared" si="9"/>
        <v>1275.356</v>
      </c>
      <c r="G67" s="48">
        <v>41.4</v>
      </c>
      <c r="H67" s="48">
        <v>4619.18</v>
      </c>
      <c r="I67" s="48">
        <f t="shared" si="10"/>
        <v>191.23400000000001</v>
      </c>
      <c r="J67" s="48">
        <v>0</v>
      </c>
      <c r="K67" s="48">
        <v>4933.55</v>
      </c>
      <c r="L67" s="48">
        <f t="shared" si="11"/>
        <v>0</v>
      </c>
      <c r="M67" s="48">
        <v>298.5</v>
      </c>
      <c r="N67" s="48">
        <v>4933.55</v>
      </c>
      <c r="O67" s="48">
        <f t="shared" si="12"/>
        <v>1472.665</v>
      </c>
      <c r="P67" s="48">
        <f t="shared" si="13"/>
        <v>616</v>
      </c>
      <c r="Q67" s="48">
        <f t="shared" si="8"/>
        <v>2939.2550000000001</v>
      </c>
      <c r="R67" s="49"/>
      <c r="S67" s="156"/>
      <c r="T67" s="160">
        <v>462.2</v>
      </c>
      <c r="U67" s="160">
        <v>442.1</v>
      </c>
      <c r="V67" s="161">
        <v>534.20000000000005</v>
      </c>
      <c r="W67" s="162">
        <v>403</v>
      </c>
      <c r="X67" s="160">
        <v>397.1</v>
      </c>
      <c r="Y67" s="160"/>
      <c r="Z67" s="160">
        <f t="shared" si="14"/>
        <v>355.3</v>
      </c>
      <c r="AA67" s="160">
        <v>459.1</v>
      </c>
      <c r="AB67" s="163">
        <f t="shared" si="1"/>
        <v>156.89999999999998</v>
      </c>
    </row>
    <row r="68" spans="1:44" s="164" customFormat="1" ht="21.75" customHeight="1" x14ac:dyDescent="0.2">
      <c r="A68" s="46" t="s">
        <v>153</v>
      </c>
      <c r="B68" s="47" t="s">
        <v>50</v>
      </c>
      <c r="C68" s="179" t="s">
        <v>29</v>
      </c>
      <c r="D68" s="48">
        <v>68</v>
      </c>
      <c r="E68" s="48">
        <v>4619.18</v>
      </c>
      <c r="F68" s="48">
        <f t="shared" si="9"/>
        <v>314.10399999999998</v>
      </c>
      <c r="G68" s="48">
        <v>6</v>
      </c>
      <c r="H68" s="48">
        <v>4619.18</v>
      </c>
      <c r="I68" s="48">
        <f t="shared" si="10"/>
        <v>27.715</v>
      </c>
      <c r="J68" s="48">
        <v>0</v>
      </c>
      <c r="K68" s="48">
        <v>4933.55</v>
      </c>
      <c r="L68" s="48">
        <f t="shared" si="11"/>
        <v>0</v>
      </c>
      <c r="M68" s="48">
        <v>36</v>
      </c>
      <c r="N68" s="48">
        <v>4933.55</v>
      </c>
      <c r="O68" s="48">
        <f t="shared" si="12"/>
        <v>177.608</v>
      </c>
      <c r="P68" s="48">
        <f>D68+G68+J68+M68</f>
        <v>110</v>
      </c>
      <c r="Q68" s="48">
        <f>F68+I68+L68+O68</f>
        <v>519.42699999999991</v>
      </c>
      <c r="R68" s="49"/>
      <c r="S68" s="156"/>
      <c r="T68" s="160">
        <v>79.099999999999994</v>
      </c>
      <c r="U68" s="160">
        <v>76.3</v>
      </c>
      <c r="V68" s="161">
        <v>98.1</v>
      </c>
      <c r="W68" s="162">
        <v>115.8</v>
      </c>
      <c r="X68" s="160">
        <v>101.7</v>
      </c>
      <c r="Y68" s="160">
        <v>128.9</v>
      </c>
      <c r="Z68" s="160">
        <f t="shared" si="14"/>
        <v>104.2</v>
      </c>
      <c r="AA68" s="160">
        <v>61.1</v>
      </c>
      <c r="AB68" s="163">
        <f t="shared" si="1"/>
        <v>48.9</v>
      </c>
    </row>
    <row r="69" spans="1:44" s="164" customFormat="1" ht="39" customHeight="1" x14ac:dyDescent="0.2">
      <c r="A69" s="46" t="s">
        <v>223</v>
      </c>
      <c r="B69" s="47" t="s">
        <v>63</v>
      </c>
      <c r="C69" s="179" t="s">
        <v>29</v>
      </c>
      <c r="D69" s="48">
        <v>98</v>
      </c>
      <c r="E69" s="48">
        <v>4619.18</v>
      </c>
      <c r="F69" s="48">
        <f t="shared" si="9"/>
        <v>452.68</v>
      </c>
      <c r="G69" s="48">
        <v>10.1</v>
      </c>
      <c r="H69" s="48">
        <v>4619.18</v>
      </c>
      <c r="I69" s="48">
        <f t="shared" si="10"/>
        <v>46.654000000000003</v>
      </c>
      <c r="J69" s="48">
        <v>0</v>
      </c>
      <c r="K69" s="48">
        <v>4933.55</v>
      </c>
      <c r="L69" s="48">
        <f t="shared" si="11"/>
        <v>0</v>
      </c>
      <c r="M69" s="48">
        <v>50.5</v>
      </c>
      <c r="N69" s="48">
        <v>4933.55</v>
      </c>
      <c r="O69" s="48">
        <f t="shared" si="12"/>
        <v>249.14400000000001</v>
      </c>
      <c r="P69" s="48">
        <f>D69+G69+J69+M69</f>
        <v>158.6</v>
      </c>
      <c r="Q69" s="48">
        <f>F69+I69+L69+O69</f>
        <v>748.47800000000007</v>
      </c>
      <c r="R69" s="49"/>
      <c r="S69" s="156"/>
      <c r="T69" s="160">
        <v>162.9</v>
      </c>
      <c r="U69" s="160">
        <v>151.69999999999999</v>
      </c>
      <c r="V69" s="161">
        <v>160.5</v>
      </c>
      <c r="W69" s="162">
        <v>143.69999999999999</v>
      </c>
      <c r="X69" s="160">
        <v>138.19999999999999</v>
      </c>
      <c r="Y69" s="160">
        <v>158.6</v>
      </c>
      <c r="Z69" s="160">
        <f t="shared" si="14"/>
        <v>150.5</v>
      </c>
      <c r="AA69" s="160">
        <v>137.5</v>
      </c>
      <c r="AB69" s="163">
        <f t="shared" si="1"/>
        <v>21.099999999999994</v>
      </c>
    </row>
    <row r="70" spans="1:44" s="164" customFormat="1" ht="25.5" customHeight="1" x14ac:dyDescent="0.2">
      <c r="A70" s="46" t="s">
        <v>224</v>
      </c>
      <c r="B70" s="47" t="s">
        <v>59</v>
      </c>
      <c r="C70" s="179"/>
      <c r="D70" s="53">
        <f>D71+D72+D73</f>
        <v>1213.23</v>
      </c>
      <c r="E70" s="48"/>
      <c r="F70" s="53">
        <f>ROUND((F71+F72+F73),3)</f>
        <v>5604.1270000000004</v>
      </c>
      <c r="G70" s="53">
        <f>G71+G72+G73</f>
        <v>701.73</v>
      </c>
      <c r="H70" s="48"/>
      <c r="I70" s="53">
        <f>ROUND((I71+I72+I73),3)</f>
        <v>3241.4169999999999</v>
      </c>
      <c r="J70" s="53">
        <f>J71+J72+J73</f>
        <v>50</v>
      </c>
      <c r="K70" s="48"/>
      <c r="L70" s="53">
        <f>ROUND((L71+L72+L73),3)</f>
        <v>246.678</v>
      </c>
      <c r="M70" s="53">
        <f>M71+M72+M73</f>
        <v>866.64</v>
      </c>
      <c r="N70" s="48"/>
      <c r="O70" s="53">
        <f>ROUND((O71+O72+O73),3)</f>
        <v>4275.6130000000003</v>
      </c>
      <c r="P70" s="53">
        <f>P71+P72+P73</f>
        <v>2831.6</v>
      </c>
      <c r="Q70" s="53">
        <f>Q71+Q72+Q73</f>
        <v>13367.834999999999</v>
      </c>
      <c r="R70" s="64"/>
      <c r="S70" s="156"/>
      <c r="T70" s="165"/>
      <c r="U70" s="165"/>
      <c r="V70" s="165"/>
      <c r="W70" s="162"/>
      <c r="X70" s="160"/>
      <c r="Y70" s="160"/>
      <c r="Z70" s="160"/>
      <c r="AA70" s="160"/>
      <c r="AB70" s="163">
        <f t="shared" si="1"/>
        <v>2831.6</v>
      </c>
    </row>
    <row r="71" spans="1:44" s="156" customFormat="1" ht="24" customHeight="1" x14ac:dyDescent="0.2">
      <c r="A71" s="46" t="s">
        <v>225</v>
      </c>
      <c r="B71" s="47" t="s">
        <v>336</v>
      </c>
      <c r="C71" s="179" t="s">
        <v>29</v>
      </c>
      <c r="D71" s="53">
        <v>600</v>
      </c>
      <c r="E71" s="48">
        <v>4619.18</v>
      </c>
      <c r="F71" s="48">
        <f>ROUND((D71*E71/1000),3)</f>
        <v>2771.5079999999998</v>
      </c>
      <c r="G71" s="53">
        <v>283</v>
      </c>
      <c r="H71" s="48">
        <v>4619.18</v>
      </c>
      <c r="I71" s="48">
        <f>ROUND((G71*H71/1000),3)</f>
        <v>1307.2280000000001</v>
      </c>
      <c r="J71" s="53">
        <v>50</v>
      </c>
      <c r="K71" s="48">
        <v>4933.55</v>
      </c>
      <c r="L71" s="48">
        <f>ROUND((J71*K71/1000),3)</f>
        <v>246.678</v>
      </c>
      <c r="M71" s="53">
        <v>350</v>
      </c>
      <c r="N71" s="48">
        <v>4933.55</v>
      </c>
      <c r="O71" s="48">
        <f>ROUND((M71*N71/1000),3)</f>
        <v>1726.7429999999999</v>
      </c>
      <c r="P71" s="48">
        <f>D71+G71+J71+M71</f>
        <v>1283</v>
      </c>
      <c r="Q71" s="48">
        <f>F71+I71+L71+O71</f>
        <v>6052.1569999999992</v>
      </c>
      <c r="R71" s="60"/>
      <c r="T71" s="160">
        <v>734.8</v>
      </c>
      <c r="U71" s="160">
        <v>690</v>
      </c>
      <c r="V71" s="161">
        <v>731.8</v>
      </c>
      <c r="W71" s="162">
        <v>661.04100000000005</v>
      </c>
      <c r="X71" s="160">
        <v>621</v>
      </c>
      <c r="Y71" s="160">
        <v>539</v>
      </c>
      <c r="Z71" s="160">
        <f>ROUND(((U71+V71+W71+X71+Y71)/5),1)</f>
        <v>648.6</v>
      </c>
      <c r="AA71" s="160"/>
      <c r="AB71" s="163">
        <f t="shared" si="1"/>
        <v>1283</v>
      </c>
    </row>
    <row r="72" spans="1:44" s="156" customFormat="1" ht="25.5" customHeight="1" x14ac:dyDescent="0.2">
      <c r="A72" s="46" t="s">
        <v>226</v>
      </c>
      <c r="B72" s="47" t="s">
        <v>338</v>
      </c>
      <c r="C72" s="179" t="s">
        <v>248</v>
      </c>
      <c r="D72" s="53">
        <v>302.10000000000002</v>
      </c>
      <c r="E72" s="48">
        <v>4619.18</v>
      </c>
      <c r="F72" s="48">
        <f>ROUND((D72*E72/1000),3)</f>
        <v>1395.454</v>
      </c>
      <c r="G72" s="53">
        <v>107.6</v>
      </c>
      <c r="H72" s="48">
        <v>4619.18</v>
      </c>
      <c r="I72" s="48">
        <f>ROUND((G72*H72/1000),3)</f>
        <v>497.024</v>
      </c>
      <c r="J72" s="53">
        <v>0</v>
      </c>
      <c r="K72" s="48">
        <v>4933.55</v>
      </c>
      <c r="L72" s="48">
        <f>ROUND((J72*K72/1000),3)</f>
        <v>0</v>
      </c>
      <c r="M72" s="53">
        <v>205.5</v>
      </c>
      <c r="N72" s="48">
        <v>4933.55</v>
      </c>
      <c r="O72" s="48">
        <f>ROUND((M72*N72/1000),3)</f>
        <v>1013.845</v>
      </c>
      <c r="P72" s="48">
        <f>D72+G72+J72+M72</f>
        <v>615.20000000000005</v>
      </c>
      <c r="Q72" s="48">
        <f>F72+I72+L72+O72</f>
        <v>2906.3230000000003</v>
      </c>
      <c r="R72" s="49"/>
      <c r="T72" s="160"/>
      <c r="U72" s="160"/>
      <c r="V72" s="161"/>
      <c r="W72" s="162">
        <v>567.15</v>
      </c>
      <c r="X72" s="160">
        <v>271.89999999999998</v>
      </c>
      <c r="Y72" s="160">
        <v>377.2</v>
      </c>
      <c r="Z72" s="160">
        <f>ROUND(((W72+X72+Y72)/3),1)</f>
        <v>405.4</v>
      </c>
      <c r="AA72" s="160">
        <v>376.6</v>
      </c>
      <c r="AB72" s="163">
        <f t="shared" si="1"/>
        <v>238.60000000000002</v>
      </c>
    </row>
    <row r="73" spans="1:44" s="156" customFormat="1" ht="24" customHeight="1" x14ac:dyDescent="0.2">
      <c r="A73" s="46" t="s">
        <v>227</v>
      </c>
      <c r="B73" s="47" t="s">
        <v>337</v>
      </c>
      <c r="C73" s="179" t="s">
        <v>29</v>
      </c>
      <c r="D73" s="53">
        <v>311.13</v>
      </c>
      <c r="E73" s="48">
        <v>4619.18</v>
      </c>
      <c r="F73" s="48">
        <f>ROUND((D73*E73/1000),3)</f>
        <v>1437.165</v>
      </c>
      <c r="G73" s="53">
        <v>311.13</v>
      </c>
      <c r="H73" s="48">
        <v>4619.18</v>
      </c>
      <c r="I73" s="48">
        <f>ROUND((G73*H73/1000),3)</f>
        <v>1437.165</v>
      </c>
      <c r="J73" s="53">
        <v>0</v>
      </c>
      <c r="K73" s="48">
        <v>4933.55</v>
      </c>
      <c r="L73" s="48">
        <f>ROUND((J73*K73/1000),3)</f>
        <v>0</v>
      </c>
      <c r="M73" s="53">
        <v>311.14</v>
      </c>
      <c r="N73" s="48">
        <v>4933.55</v>
      </c>
      <c r="O73" s="48">
        <f>ROUND((M73*N73/1000),3)</f>
        <v>1535.0250000000001</v>
      </c>
      <c r="P73" s="48">
        <f>D73+G73+J73+M73</f>
        <v>933.4</v>
      </c>
      <c r="Q73" s="48">
        <f>F73+I73+L73+O73</f>
        <v>4409.3549999999996</v>
      </c>
      <c r="R73" s="60"/>
      <c r="T73" s="160"/>
      <c r="U73" s="160"/>
      <c r="V73" s="161"/>
      <c r="W73" s="162"/>
      <c r="X73" s="160">
        <v>502.7</v>
      </c>
      <c r="Y73" s="160">
        <v>497</v>
      </c>
      <c r="Z73" s="160">
        <f>ROUND(((X73+Y73)/2),1)</f>
        <v>499.9</v>
      </c>
      <c r="AA73" s="160"/>
      <c r="AB73" s="163">
        <f t="shared" si="1"/>
        <v>933.4</v>
      </c>
    </row>
    <row r="74" spans="1:44" s="164" customFormat="1" ht="30.75" customHeight="1" x14ac:dyDescent="0.2">
      <c r="A74" s="46"/>
      <c r="B74" s="61" t="s">
        <v>20</v>
      </c>
      <c r="C74" s="58"/>
      <c r="D74" s="48">
        <f>D10+D11+D60+D67+D68+D69+D70</f>
        <v>8973.9359999999997</v>
      </c>
      <c r="E74" s="48"/>
      <c r="F74" s="48">
        <f>F10+F11+F60+F67+F68+F69+F70</f>
        <v>40764.610999999997</v>
      </c>
      <c r="G74" s="48">
        <f>G10+G11+G60+G67+G68+G69+G70</f>
        <v>1852.0360000000001</v>
      </c>
      <c r="H74" s="48"/>
      <c r="I74" s="48">
        <f>I10+I11+I60+I67+I68+I69+I70</f>
        <v>8483.1890000000003</v>
      </c>
      <c r="J74" s="48">
        <f>J10+J11+J60+J67+J68+J69+J70</f>
        <v>50</v>
      </c>
      <c r="K74" s="48"/>
      <c r="L74" s="48">
        <f>L10+L11+L60+L67+L68+L69+L70</f>
        <v>246.678</v>
      </c>
      <c r="M74" s="48">
        <f>M10+M11+M60+M67+M68+M69+M70</f>
        <v>6207.9580000000005</v>
      </c>
      <c r="N74" s="48"/>
      <c r="O74" s="48">
        <f>O10+O11+O60+O67+O68+O69+O70</f>
        <v>30207.264999999999</v>
      </c>
      <c r="P74" s="48">
        <f>D74+G74+J74+M74</f>
        <v>17083.93</v>
      </c>
      <c r="Q74" s="48">
        <f>F74+I74+L74+O74</f>
        <v>79701.742999999988</v>
      </c>
      <c r="R74" s="49"/>
      <c r="S74" s="156"/>
      <c r="Z74" s="164">
        <v>15941</v>
      </c>
      <c r="AA74" s="164">
        <v>15941</v>
      </c>
      <c r="AB74" s="163">
        <f t="shared" si="1"/>
        <v>1142.9300000000003</v>
      </c>
    </row>
    <row r="75" spans="1:44" x14ac:dyDescent="0.2">
      <c r="D75" s="21"/>
      <c r="G75" s="21"/>
      <c r="J75" s="21"/>
      <c r="M75" s="21"/>
      <c r="P75" s="21"/>
      <c r="Q75" s="21"/>
      <c r="R75" s="21"/>
    </row>
    <row r="76" spans="1:44" ht="44.25" customHeight="1" x14ac:dyDescent="0.3">
      <c r="A76" s="252" t="s">
        <v>285</v>
      </c>
      <c r="B76" s="253"/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53"/>
      <c r="Q76" s="253"/>
      <c r="R76" s="60">
        <v>4</v>
      </c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</row>
    <row r="77" spans="1:44" ht="12" customHeight="1" x14ac:dyDescent="0.2">
      <c r="C77" s="15"/>
      <c r="M77" s="21"/>
      <c r="N77" s="21"/>
      <c r="P77" s="21"/>
      <c r="Q77" s="21"/>
      <c r="R77" s="60"/>
    </row>
    <row r="78" spans="1:44" s="182" customFormat="1" ht="111" customHeight="1" x14ac:dyDescent="0.3">
      <c r="A78" s="254" t="s">
        <v>286</v>
      </c>
      <c r="B78" s="255"/>
      <c r="C78" s="255"/>
      <c r="D78" s="255"/>
      <c r="E78" s="255"/>
      <c r="F78" s="255"/>
      <c r="G78" s="255"/>
      <c r="H78" s="174"/>
      <c r="I78" s="174"/>
      <c r="J78" s="174"/>
      <c r="L78" s="28"/>
      <c r="M78" s="28"/>
      <c r="N78" s="28"/>
      <c r="O78" s="250" t="s">
        <v>287</v>
      </c>
      <c r="P78" s="250"/>
      <c r="Q78" s="250"/>
      <c r="R78" s="60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F78" s="28"/>
    </row>
    <row r="79" spans="1:44" s="182" customFormat="1" ht="96" customHeight="1" x14ac:dyDescent="0.3">
      <c r="A79" s="254" t="s">
        <v>305</v>
      </c>
      <c r="B79" s="255"/>
      <c r="C79" s="255"/>
      <c r="D79" s="255"/>
      <c r="E79" s="255"/>
      <c r="F79" s="255"/>
      <c r="G79" s="255"/>
      <c r="O79" s="250" t="s">
        <v>304</v>
      </c>
      <c r="P79" s="250"/>
      <c r="Q79" s="250"/>
    </row>
    <row r="80" spans="1:44" s="182" customFormat="1" ht="96" customHeight="1" x14ac:dyDescent="0.3">
      <c r="A80" s="29"/>
      <c r="B80" s="30"/>
      <c r="C80" s="30"/>
      <c r="D80" s="30"/>
      <c r="E80" s="30"/>
      <c r="F80" s="30"/>
      <c r="G80" s="30"/>
      <c r="O80" s="175"/>
      <c r="P80" s="175"/>
      <c r="Q80" s="175"/>
    </row>
  </sheetData>
  <sheetProtection selectLockedCells="1" selectUnlockedCells="1"/>
  <mergeCells count="19">
    <mergeCell ref="A79:G79"/>
    <mergeCell ref="O79:Q79"/>
    <mergeCell ref="M1:Q1"/>
    <mergeCell ref="M2:Q2"/>
    <mergeCell ref="M3:Q3"/>
    <mergeCell ref="A7:A8"/>
    <mergeCell ref="C7:C8"/>
    <mergeCell ref="D7:F7"/>
    <mergeCell ref="G7:I7"/>
    <mergeCell ref="J7:L7"/>
    <mergeCell ref="M7:O7"/>
    <mergeCell ref="T7:X7"/>
    <mergeCell ref="P7:Q7"/>
    <mergeCell ref="A5:Q5"/>
    <mergeCell ref="A4:Q4"/>
    <mergeCell ref="O78:Q78"/>
    <mergeCell ref="A76:Q76"/>
    <mergeCell ref="A78:G78"/>
    <mergeCell ref="B7:B8"/>
  </mergeCells>
  <phoneticPr fontId="7" type="noConversion"/>
  <pageMargins left="1.1811023622047245" right="0.39370078740157483" top="1.1811023622047245" bottom="0.39370078740157483" header="0.51181102362204722" footer="0.51181102362204722"/>
  <pageSetup paperSize="9" scale="86" firstPageNumber="0" fitToHeight="0" orientation="landscape" horizontalDpi="300" verticalDpi="300" r:id="rId1"/>
  <headerFooter differentFirst="1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8"/>
  <sheetViews>
    <sheetView topLeftCell="B52" zoomScale="85" zoomScaleNormal="85" workbookViewId="0">
      <selection activeCell="P59" sqref="P59"/>
    </sheetView>
  </sheetViews>
  <sheetFormatPr defaultColWidth="11.5703125" defaultRowHeight="39" customHeight="1" outlineLevelCol="1" x14ac:dyDescent="0.2"/>
  <cols>
    <col min="1" max="1" width="0" style="15" hidden="1" customWidth="1"/>
    <col min="2" max="2" width="7.140625" style="15" customWidth="1"/>
    <col min="3" max="3" width="28.85546875" style="15" customWidth="1"/>
    <col min="4" max="4" width="10.7109375" style="15" hidden="1" customWidth="1" outlineLevel="1"/>
    <col min="5" max="5" width="11.5703125" style="15" customWidth="1" collapsed="1"/>
    <col min="6" max="8" width="11" style="15" hidden="1" customWidth="1" outlineLevel="1"/>
    <col min="9" max="9" width="10.28515625" style="15" customWidth="1" collapsed="1"/>
    <col min="10" max="10" width="11.5703125" style="15" customWidth="1"/>
    <col min="11" max="11" width="11.5703125" style="15" hidden="1" customWidth="1" outlineLevel="1"/>
    <col min="12" max="12" width="9.5703125" style="15" customWidth="1" collapsed="1"/>
    <col min="13" max="13" width="11.42578125" style="15" customWidth="1"/>
    <col min="14" max="14" width="11.5703125" style="15" hidden="1" customWidth="1" outlineLevel="1"/>
    <col min="15" max="15" width="9.5703125" style="15" customWidth="1" collapsed="1"/>
    <col min="16" max="16" width="11.42578125" style="15" customWidth="1"/>
    <col min="17" max="17" width="11.5703125" style="15" hidden="1" customWidth="1" outlineLevel="1"/>
    <col min="18" max="18" width="10" style="15" customWidth="1" collapsed="1"/>
    <col min="19" max="19" width="11.5703125" style="15" customWidth="1"/>
    <col min="20" max="20" width="10.28515625" style="15" customWidth="1"/>
    <col min="21" max="22" width="11.5703125" style="15" hidden="1" customWidth="1" outlineLevel="1"/>
    <col min="23" max="23" width="15" style="15" hidden="1" customWidth="1" outlineLevel="1"/>
    <col min="24" max="24" width="11.5703125" style="15" hidden="1" customWidth="1" outlineLevel="1"/>
    <col min="25" max="25" width="9.28515625" style="15" customWidth="1" collapsed="1"/>
    <col min="26" max="16384" width="11.5703125" style="15"/>
  </cols>
  <sheetData>
    <row r="1" spans="1:23" ht="69" customHeight="1" x14ac:dyDescent="0.3">
      <c r="C1" s="205" t="s">
        <v>61</v>
      </c>
      <c r="D1" s="33" t="s">
        <v>69</v>
      </c>
      <c r="E1" s="206">
        <v>9026</v>
      </c>
      <c r="F1" s="206">
        <v>9658</v>
      </c>
      <c r="G1" s="206"/>
      <c r="H1" s="206"/>
      <c r="I1" s="4"/>
      <c r="J1" s="4"/>
      <c r="K1" s="207"/>
      <c r="L1" s="207"/>
      <c r="M1" s="207"/>
      <c r="N1" s="207"/>
      <c r="O1" s="8"/>
      <c r="P1" s="260"/>
      <c r="Q1" s="260"/>
      <c r="R1" s="260"/>
      <c r="S1" s="260"/>
      <c r="T1" s="260"/>
    </row>
    <row r="2" spans="1:23" ht="48.75" customHeight="1" x14ac:dyDescent="0.3">
      <c r="C2" s="35"/>
      <c r="D2" s="208"/>
      <c r="E2" s="209">
        <v>43466</v>
      </c>
      <c r="F2" s="209">
        <v>43647</v>
      </c>
      <c r="G2" s="209"/>
      <c r="H2" s="209"/>
      <c r="I2" s="4"/>
      <c r="J2" s="4"/>
      <c r="K2" s="4"/>
      <c r="L2" s="4"/>
      <c r="M2" s="4"/>
      <c r="N2" s="4"/>
      <c r="O2" s="210"/>
      <c r="P2" s="170"/>
      <c r="Q2" s="171"/>
      <c r="R2" s="171"/>
      <c r="S2" s="171"/>
      <c r="T2" s="171"/>
    </row>
    <row r="3" spans="1:23" ht="24" customHeight="1" x14ac:dyDescent="0.3">
      <c r="C3" s="182"/>
      <c r="D3" s="188"/>
      <c r="E3" s="182"/>
      <c r="F3" s="182"/>
      <c r="G3" s="182"/>
      <c r="H3" s="182"/>
      <c r="I3" s="182"/>
      <c r="J3" s="182"/>
      <c r="K3" s="182"/>
      <c r="L3" s="182" t="s">
        <v>49</v>
      </c>
      <c r="M3" s="182"/>
      <c r="N3" s="182"/>
      <c r="O3" s="182"/>
      <c r="P3" s="182"/>
      <c r="Q3" s="182"/>
      <c r="R3" s="9"/>
      <c r="S3" s="9"/>
      <c r="T3" s="9"/>
    </row>
    <row r="4" spans="1:23" ht="54.75" customHeight="1" x14ac:dyDescent="0.2">
      <c r="C4" s="248" t="s">
        <v>293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</row>
    <row r="5" spans="1:23" ht="11.25" customHeight="1" x14ac:dyDescent="0.2">
      <c r="D5" s="66"/>
    </row>
    <row r="6" spans="1:23" ht="13.5" customHeight="1" x14ac:dyDescent="0.2">
      <c r="B6" s="261" t="s">
        <v>108</v>
      </c>
      <c r="C6" s="261" t="s">
        <v>21</v>
      </c>
      <c r="D6" s="261" t="s">
        <v>22</v>
      </c>
      <c r="E6" s="261" t="s">
        <v>23</v>
      </c>
      <c r="F6" s="261"/>
      <c r="G6" s="261"/>
      <c r="H6" s="261"/>
      <c r="I6" s="261"/>
      <c r="J6" s="261" t="s">
        <v>24</v>
      </c>
      <c r="K6" s="261"/>
      <c r="L6" s="261"/>
      <c r="M6" s="261" t="s">
        <v>25</v>
      </c>
      <c r="N6" s="261"/>
      <c r="O6" s="261"/>
      <c r="P6" s="261" t="s">
        <v>26</v>
      </c>
      <c r="Q6" s="261"/>
      <c r="R6" s="261"/>
      <c r="S6" s="261" t="s">
        <v>296</v>
      </c>
      <c r="T6" s="261"/>
    </row>
    <row r="7" spans="1:23" ht="35.1" customHeight="1" x14ac:dyDescent="0.2">
      <c r="B7" s="261"/>
      <c r="C7" s="261"/>
      <c r="D7" s="261"/>
      <c r="E7" s="190" t="s">
        <v>34</v>
      </c>
      <c r="F7" s="190" t="s">
        <v>35</v>
      </c>
      <c r="G7" s="190"/>
      <c r="H7" s="190"/>
      <c r="I7" s="190" t="s">
        <v>18</v>
      </c>
      <c r="J7" s="190" t="s">
        <v>34</v>
      </c>
      <c r="K7" s="190" t="s">
        <v>35</v>
      </c>
      <c r="L7" s="190" t="s">
        <v>18</v>
      </c>
      <c r="M7" s="190" t="s">
        <v>34</v>
      </c>
      <c r="N7" s="190" t="s">
        <v>35</v>
      </c>
      <c r="O7" s="190" t="s">
        <v>18</v>
      </c>
      <c r="P7" s="190" t="s">
        <v>34</v>
      </c>
      <c r="Q7" s="190" t="s">
        <v>35</v>
      </c>
      <c r="R7" s="190" t="s">
        <v>18</v>
      </c>
      <c r="S7" s="190" t="s">
        <v>34</v>
      </c>
      <c r="T7" s="190" t="s">
        <v>36</v>
      </c>
      <c r="U7" s="15" t="s">
        <v>258</v>
      </c>
    </row>
    <row r="8" spans="1:23" ht="13.5" customHeight="1" x14ac:dyDescent="0.2">
      <c r="B8" s="190">
        <v>1</v>
      </c>
      <c r="C8" s="68">
        <v>2</v>
      </c>
      <c r="D8" s="68">
        <v>2</v>
      </c>
      <c r="E8" s="68">
        <v>3</v>
      </c>
      <c r="F8" s="68">
        <v>4</v>
      </c>
      <c r="G8" s="68"/>
      <c r="H8" s="68"/>
      <c r="I8" s="68">
        <v>4</v>
      </c>
      <c r="J8" s="68">
        <v>5</v>
      </c>
      <c r="K8" s="68">
        <v>7</v>
      </c>
      <c r="L8" s="68">
        <v>6</v>
      </c>
      <c r="M8" s="68">
        <v>7</v>
      </c>
      <c r="N8" s="68">
        <v>10</v>
      </c>
      <c r="O8" s="68">
        <v>8</v>
      </c>
      <c r="P8" s="68">
        <v>9</v>
      </c>
      <c r="Q8" s="68">
        <v>13</v>
      </c>
      <c r="R8" s="68">
        <v>10</v>
      </c>
      <c r="S8" s="68">
        <v>11</v>
      </c>
      <c r="T8" s="190">
        <v>12</v>
      </c>
    </row>
    <row r="9" spans="1:23" ht="35.25" customHeight="1" x14ac:dyDescent="0.2">
      <c r="A9" s="15">
        <v>1</v>
      </c>
      <c r="B9" s="137">
        <v>1</v>
      </c>
      <c r="C9" s="27" t="s">
        <v>55</v>
      </c>
      <c r="D9" s="190" t="s">
        <v>61</v>
      </c>
      <c r="E9" s="167">
        <v>2.2839999999999998</v>
      </c>
      <c r="F9" s="167">
        <v>12097.25</v>
      </c>
      <c r="G9" s="167">
        <f>F9*10%</f>
        <v>1209.7250000000001</v>
      </c>
      <c r="H9" s="167">
        <v>12097.25</v>
      </c>
      <c r="I9" s="166">
        <f>ROUND((E9*F9/1000),3)</f>
        <v>27.63</v>
      </c>
      <c r="J9" s="167">
        <v>9.5000000000000001E-2</v>
      </c>
      <c r="K9" s="167">
        <v>12097.25</v>
      </c>
      <c r="L9" s="166">
        <f>ROUND((J9*K9/1000),3)</f>
        <v>1.149</v>
      </c>
      <c r="M9" s="167">
        <v>0</v>
      </c>
      <c r="N9" s="167">
        <v>13790.865</v>
      </c>
      <c r="O9" s="166">
        <f>ROUND((M9*N9/1000),3)</f>
        <v>0</v>
      </c>
      <c r="P9" s="167">
        <v>1.319</v>
      </c>
      <c r="Q9" s="167">
        <v>13790.865</v>
      </c>
      <c r="R9" s="166">
        <f>ROUND((P9*Q9/1000),3)</f>
        <v>18.190000000000001</v>
      </c>
      <c r="S9" s="167">
        <f t="shared" ref="S9:S39" si="0">E9+J9+M9+P9</f>
        <v>3.698</v>
      </c>
      <c r="T9" s="167">
        <f t="shared" ref="T9:T49" si="1">I9+L9+O9+R9</f>
        <v>46.969000000000001</v>
      </c>
      <c r="U9" s="15">
        <v>4.2</v>
      </c>
      <c r="V9" s="168">
        <f>U9-S9</f>
        <v>0.50200000000000022</v>
      </c>
    </row>
    <row r="10" spans="1:23" s="155" customFormat="1" ht="42" customHeight="1" x14ac:dyDescent="0.2">
      <c r="B10" s="211">
        <v>2</v>
      </c>
      <c r="C10" s="212" t="s">
        <v>51</v>
      </c>
      <c r="D10" s="134"/>
      <c r="E10" s="213">
        <f>ROUND((SUM(E12:E29)+SUM(E31:E46)),3)</f>
        <v>199.01300000000001</v>
      </c>
      <c r="F10" s="167"/>
      <c r="G10" s="167">
        <f t="shared" ref="G10:G52" si="2">F10*10%</f>
        <v>0</v>
      </c>
      <c r="H10" s="167"/>
      <c r="I10" s="213">
        <f>ROUND((SUM(I12:I29)+SUM(I31:I46)),3)</f>
        <v>2392.4349999999999</v>
      </c>
      <c r="J10" s="213">
        <f>ROUND((SUM(J12:J29)+SUM(J31:J46)),3)</f>
        <v>46.075000000000003</v>
      </c>
      <c r="K10" s="213"/>
      <c r="L10" s="213">
        <f>ROUND((SUM(L12:L29)+SUM(L31:L46)),3)</f>
        <v>556.30999999999995</v>
      </c>
      <c r="M10" s="213">
        <f>ROUND((SUM(M12:M29)+SUM(M31:M46)),3)</f>
        <v>34.851999999999997</v>
      </c>
      <c r="N10" s="213">
        <v>0</v>
      </c>
      <c r="O10" s="213">
        <f>ROUND((SUM(O12:O29)+SUM(O31:O46)),3)</f>
        <v>480.613</v>
      </c>
      <c r="P10" s="213">
        <f>ROUND((SUM(P12:P29)+SUM(P31:P46)),3)</f>
        <v>171.018</v>
      </c>
      <c r="Q10" s="213">
        <v>0</v>
      </c>
      <c r="R10" s="213">
        <f>ROUND((SUM(R12:R29)+SUM(R31:R46)),3)</f>
        <v>2348.0830000000001</v>
      </c>
      <c r="S10" s="213">
        <f t="shared" si="0"/>
        <v>450.95799999999997</v>
      </c>
      <c r="T10" s="213">
        <f t="shared" si="1"/>
        <v>5777.4409999999998</v>
      </c>
      <c r="V10" s="214"/>
    </row>
    <row r="11" spans="1:23" ht="15" customHeight="1" x14ac:dyDescent="0.2">
      <c r="B11" s="24" t="s">
        <v>109</v>
      </c>
      <c r="C11" s="94" t="s">
        <v>339</v>
      </c>
      <c r="D11" s="190"/>
      <c r="E11" s="166">
        <f>E12+E13</f>
        <v>13.89</v>
      </c>
      <c r="F11" s="167"/>
      <c r="G11" s="167">
        <f t="shared" si="2"/>
        <v>0</v>
      </c>
      <c r="H11" s="167"/>
      <c r="I11" s="166">
        <f>I12+I13</f>
        <v>168.63</v>
      </c>
      <c r="J11" s="166">
        <f>J12+J13</f>
        <v>6.4860000000000007</v>
      </c>
      <c r="K11" s="167"/>
      <c r="L11" s="166">
        <f>L12+L13</f>
        <v>78.338999999999999</v>
      </c>
      <c r="M11" s="166">
        <f>M12+M13</f>
        <v>4.9740000000000002</v>
      </c>
      <c r="N11" s="167">
        <v>0</v>
      </c>
      <c r="O11" s="166">
        <f>O12+O13</f>
        <v>68.287999999999997</v>
      </c>
      <c r="P11" s="166">
        <f>P12+P13</f>
        <v>17.634999999999998</v>
      </c>
      <c r="Q11" s="167">
        <v>0</v>
      </c>
      <c r="R11" s="166">
        <f>R12+R13</f>
        <v>244.28699999999998</v>
      </c>
      <c r="S11" s="167">
        <f t="shared" si="0"/>
        <v>42.984999999999999</v>
      </c>
      <c r="T11" s="167">
        <f t="shared" si="1"/>
        <v>559.54399999999998</v>
      </c>
      <c r="U11" s="15">
        <v>46.475000000000001</v>
      </c>
      <c r="V11" s="168">
        <f t="shared" ref="V11:V52" si="3">U11-S11</f>
        <v>3.490000000000002</v>
      </c>
    </row>
    <row r="12" spans="1:23" ht="31.5" customHeight="1" x14ac:dyDescent="0.2">
      <c r="A12" s="15">
        <v>2</v>
      </c>
      <c r="B12" s="24" t="s">
        <v>154</v>
      </c>
      <c r="C12" s="94" t="s">
        <v>366</v>
      </c>
      <c r="D12" s="190" t="s">
        <v>61</v>
      </c>
      <c r="E12" s="166">
        <v>4.9189999999999996</v>
      </c>
      <c r="F12" s="167">
        <v>12043.02</v>
      </c>
      <c r="G12" s="167">
        <f t="shared" si="2"/>
        <v>1204.3020000000001</v>
      </c>
      <c r="H12" s="167">
        <v>12043.02</v>
      </c>
      <c r="I12" s="166">
        <f>ROUND((E12*F12/1000),3)</f>
        <v>59.24</v>
      </c>
      <c r="J12" s="166">
        <v>4.9740000000000002</v>
      </c>
      <c r="K12" s="167">
        <v>12043.02</v>
      </c>
      <c r="L12" s="166">
        <f>ROUND((J12*K12/1000),3)</f>
        <v>59.902000000000001</v>
      </c>
      <c r="M12" s="166">
        <v>4.9740000000000002</v>
      </c>
      <c r="N12" s="167">
        <v>13729.042800000001</v>
      </c>
      <c r="O12" s="166">
        <f t="shared" ref="O12:O29" si="4">ROUND((M12*N12/1000),3)</f>
        <v>68.287999999999997</v>
      </c>
      <c r="P12" s="166">
        <v>4.9740000000000002</v>
      </c>
      <c r="Q12" s="167">
        <v>13729.042800000001</v>
      </c>
      <c r="R12" s="166">
        <f>ROUND((P12*Q12/1000),3)</f>
        <v>68.287999999999997</v>
      </c>
      <c r="S12" s="167">
        <f t="shared" si="0"/>
        <v>19.841000000000001</v>
      </c>
      <c r="T12" s="167">
        <f t="shared" si="1"/>
        <v>255.71800000000002</v>
      </c>
      <c r="V12" s="168"/>
    </row>
    <row r="13" spans="1:23" ht="33.75" customHeight="1" x14ac:dyDescent="0.2">
      <c r="A13" s="15">
        <v>3</v>
      </c>
      <c r="B13" s="24" t="s">
        <v>155</v>
      </c>
      <c r="C13" s="94" t="s">
        <v>367</v>
      </c>
      <c r="D13" s="190" t="s">
        <v>61</v>
      </c>
      <c r="E13" s="166">
        <v>8.9710000000000001</v>
      </c>
      <c r="F13" s="167">
        <v>12193.720000000001</v>
      </c>
      <c r="G13" s="167">
        <f t="shared" si="2"/>
        <v>1219.3720000000001</v>
      </c>
      <c r="H13" s="167">
        <v>12193.720000000001</v>
      </c>
      <c r="I13" s="166">
        <f t="shared" ref="I13:I29" si="5">ROUND((E13*F13/1000),3)</f>
        <v>109.39</v>
      </c>
      <c r="J13" s="166">
        <v>1.512</v>
      </c>
      <c r="K13" s="167">
        <v>12193.720000000001</v>
      </c>
      <c r="L13" s="166">
        <f>ROUND((J13*K13/1000),3)</f>
        <v>18.437000000000001</v>
      </c>
      <c r="M13" s="166">
        <v>0</v>
      </c>
      <c r="N13" s="167">
        <v>13900.840800000002</v>
      </c>
      <c r="O13" s="166">
        <f t="shared" si="4"/>
        <v>0</v>
      </c>
      <c r="P13" s="166">
        <v>12.661</v>
      </c>
      <c r="Q13" s="167">
        <v>13900.840800000002</v>
      </c>
      <c r="R13" s="166">
        <f>ROUND((P13*Q13/1000),3)</f>
        <v>175.999</v>
      </c>
      <c r="S13" s="167">
        <f t="shared" si="0"/>
        <v>23.143999999999998</v>
      </c>
      <c r="T13" s="167">
        <f t="shared" si="1"/>
        <v>303.82600000000002</v>
      </c>
      <c r="V13" s="168"/>
    </row>
    <row r="14" spans="1:23" ht="21.75" customHeight="1" x14ac:dyDescent="0.2">
      <c r="A14" s="15">
        <v>4</v>
      </c>
      <c r="B14" s="24" t="s">
        <v>110</v>
      </c>
      <c r="C14" s="94" t="s">
        <v>103</v>
      </c>
      <c r="D14" s="190" t="s">
        <v>61</v>
      </c>
      <c r="E14" s="166">
        <v>6.2160000000000002</v>
      </c>
      <c r="F14" s="167">
        <v>11859.65</v>
      </c>
      <c r="G14" s="167">
        <f t="shared" si="2"/>
        <v>1185.9649999999999</v>
      </c>
      <c r="H14" s="167">
        <v>11859.65</v>
      </c>
      <c r="I14" s="166">
        <f t="shared" si="5"/>
        <v>73.72</v>
      </c>
      <c r="J14" s="166">
        <v>0.80300000000000005</v>
      </c>
      <c r="K14" s="167">
        <v>11859.65</v>
      </c>
      <c r="L14" s="166">
        <f t="shared" ref="L14:L29" si="6">ROUND((J14*K14/1000),3)</f>
        <v>9.5229999999999997</v>
      </c>
      <c r="M14" s="166">
        <v>0</v>
      </c>
      <c r="N14" s="167">
        <v>13520.001</v>
      </c>
      <c r="O14" s="166">
        <f t="shared" si="4"/>
        <v>0</v>
      </c>
      <c r="P14" s="166">
        <v>4.6660000000000004</v>
      </c>
      <c r="Q14" s="167">
        <v>13520.001</v>
      </c>
      <c r="R14" s="166">
        <f t="shared" ref="R14:R29" si="7">ROUND((P14*Q14/1000),3)</f>
        <v>63.084000000000003</v>
      </c>
      <c r="S14" s="167">
        <f t="shared" si="0"/>
        <v>11.685</v>
      </c>
      <c r="T14" s="167">
        <f t="shared" si="1"/>
        <v>146.327</v>
      </c>
      <c r="U14" s="15">
        <v>11.532999999999999</v>
      </c>
      <c r="V14" s="168">
        <f t="shared" si="3"/>
        <v>-0.15200000000000102</v>
      </c>
    </row>
    <row r="15" spans="1:23" ht="21.75" customHeight="1" x14ac:dyDescent="0.2">
      <c r="A15" s="15">
        <v>5</v>
      </c>
      <c r="B15" s="24" t="s">
        <v>111</v>
      </c>
      <c r="C15" s="94" t="s">
        <v>341</v>
      </c>
      <c r="D15" s="190" t="s">
        <v>61</v>
      </c>
      <c r="E15" s="166">
        <v>0.77200000000000002</v>
      </c>
      <c r="F15" s="167">
        <v>12198.34</v>
      </c>
      <c r="G15" s="167">
        <f t="shared" si="2"/>
        <v>1219.8340000000001</v>
      </c>
      <c r="H15" s="167">
        <v>12198.34</v>
      </c>
      <c r="I15" s="166">
        <f t="shared" si="5"/>
        <v>9.4169999999999998</v>
      </c>
      <c r="J15" s="166">
        <v>0.70299999999999996</v>
      </c>
      <c r="K15" s="167">
        <v>12198.34</v>
      </c>
      <c r="L15" s="166">
        <f t="shared" si="6"/>
        <v>8.5749999999999993</v>
      </c>
      <c r="M15" s="166">
        <v>0.59099999999999997</v>
      </c>
      <c r="N15" s="167">
        <v>13906.107599999999</v>
      </c>
      <c r="O15" s="166">
        <f t="shared" si="4"/>
        <v>8.2189999999999994</v>
      </c>
      <c r="P15" s="166">
        <v>0.58899999999999997</v>
      </c>
      <c r="Q15" s="167">
        <v>13906.107599999999</v>
      </c>
      <c r="R15" s="166">
        <f t="shared" si="7"/>
        <v>8.1910000000000007</v>
      </c>
      <c r="S15" s="167">
        <f t="shared" si="0"/>
        <v>2.6549999999999998</v>
      </c>
      <c r="T15" s="167">
        <f t="shared" si="1"/>
        <v>34.402000000000001</v>
      </c>
      <c r="U15" s="15">
        <v>6.2190000000000003</v>
      </c>
      <c r="V15" s="168">
        <f t="shared" si="3"/>
        <v>3.5640000000000005</v>
      </c>
    </row>
    <row r="16" spans="1:23" s="155" customFormat="1" ht="21.75" customHeight="1" x14ac:dyDescent="0.2">
      <c r="A16" s="155">
        <v>6</v>
      </c>
      <c r="B16" s="146" t="s">
        <v>112</v>
      </c>
      <c r="C16" s="215" t="s">
        <v>368</v>
      </c>
      <c r="D16" s="134" t="s">
        <v>61</v>
      </c>
      <c r="E16" s="216">
        <v>4.5990000000000002</v>
      </c>
      <c r="F16" s="167">
        <v>12164.679999999998</v>
      </c>
      <c r="G16" s="167">
        <f t="shared" si="2"/>
        <v>1216.4679999999998</v>
      </c>
      <c r="H16" s="167">
        <v>12164.679999999998</v>
      </c>
      <c r="I16" s="166">
        <f t="shared" si="5"/>
        <v>55.945</v>
      </c>
      <c r="J16" s="216">
        <v>0.76200000000000001</v>
      </c>
      <c r="K16" s="213">
        <v>12164.679999999998</v>
      </c>
      <c r="L16" s="216">
        <f t="shared" si="6"/>
        <v>9.2690000000000001</v>
      </c>
      <c r="M16" s="216">
        <v>2.3199999999999998</v>
      </c>
      <c r="N16" s="213">
        <v>13867.735199999999</v>
      </c>
      <c r="O16" s="216">
        <f t="shared" si="4"/>
        <v>32.173000000000002</v>
      </c>
      <c r="P16" s="216">
        <v>2.87</v>
      </c>
      <c r="Q16" s="213">
        <v>13867.735199999999</v>
      </c>
      <c r="R16" s="216">
        <f t="shared" si="7"/>
        <v>39.799999999999997</v>
      </c>
      <c r="S16" s="213">
        <f t="shared" si="0"/>
        <v>10.551000000000002</v>
      </c>
      <c r="T16" s="213">
        <f t="shared" si="1"/>
        <v>137.18700000000001</v>
      </c>
      <c r="U16" s="155">
        <v>22.86</v>
      </c>
      <c r="V16" s="214">
        <f t="shared" si="3"/>
        <v>12.308999999999997</v>
      </c>
      <c r="W16" s="155" t="s">
        <v>252</v>
      </c>
    </row>
    <row r="17" spans="1:25" ht="21.75" customHeight="1" x14ac:dyDescent="0.2">
      <c r="A17" s="15">
        <v>7</v>
      </c>
      <c r="B17" s="24" t="s">
        <v>113</v>
      </c>
      <c r="C17" s="142" t="s">
        <v>369</v>
      </c>
      <c r="D17" s="190" t="s">
        <v>61</v>
      </c>
      <c r="E17" s="166">
        <v>4.524</v>
      </c>
      <c r="F17" s="167">
        <v>12137.179999999998</v>
      </c>
      <c r="G17" s="167">
        <f t="shared" si="2"/>
        <v>1213.7179999999998</v>
      </c>
      <c r="H17" s="167">
        <v>12137.179999999998</v>
      </c>
      <c r="I17" s="166">
        <f t="shared" si="5"/>
        <v>54.908999999999999</v>
      </c>
      <c r="J17" s="166">
        <v>0.65100000000000002</v>
      </c>
      <c r="K17" s="167">
        <v>12137.179999999998</v>
      </c>
      <c r="L17" s="166">
        <f t="shared" si="6"/>
        <v>7.9009999999999998</v>
      </c>
      <c r="M17" s="166">
        <v>0.69299999999999995</v>
      </c>
      <c r="N17" s="167">
        <v>13836.385199999999</v>
      </c>
      <c r="O17" s="166">
        <f t="shared" si="4"/>
        <v>9.5890000000000004</v>
      </c>
      <c r="P17" s="166">
        <v>2.9860000000000002</v>
      </c>
      <c r="Q17" s="167">
        <v>13836.385199999999</v>
      </c>
      <c r="R17" s="166">
        <f t="shared" si="7"/>
        <v>41.314999999999998</v>
      </c>
      <c r="S17" s="167">
        <f t="shared" si="0"/>
        <v>8.8539999999999992</v>
      </c>
      <c r="T17" s="167">
        <f t="shared" si="1"/>
        <v>113.714</v>
      </c>
      <c r="U17" s="15">
        <v>7.9260000000000002</v>
      </c>
      <c r="V17" s="168">
        <f t="shared" si="3"/>
        <v>-0.92799999999999905</v>
      </c>
    </row>
    <row r="18" spans="1:25" ht="21.75" customHeight="1" x14ac:dyDescent="0.2">
      <c r="A18" s="15">
        <v>8</v>
      </c>
      <c r="B18" s="24" t="s">
        <v>114</v>
      </c>
      <c r="C18" s="142" t="s">
        <v>343</v>
      </c>
      <c r="D18" s="190" t="s">
        <v>61</v>
      </c>
      <c r="E18" s="166">
        <v>4.9740000000000002</v>
      </c>
      <c r="F18" s="167">
        <v>12064.8</v>
      </c>
      <c r="G18" s="167">
        <f t="shared" si="2"/>
        <v>1206.48</v>
      </c>
      <c r="H18" s="167">
        <v>12064.8</v>
      </c>
      <c r="I18" s="166">
        <f t="shared" si="5"/>
        <v>60.01</v>
      </c>
      <c r="J18" s="166">
        <v>4.9740000000000002</v>
      </c>
      <c r="K18" s="167">
        <v>12064.8</v>
      </c>
      <c r="L18" s="166">
        <f t="shared" si="6"/>
        <v>60.01</v>
      </c>
      <c r="M18" s="166">
        <v>4.9740000000000002</v>
      </c>
      <c r="N18" s="167">
        <v>13753.871999999999</v>
      </c>
      <c r="O18" s="166">
        <f t="shared" si="4"/>
        <v>68.412000000000006</v>
      </c>
      <c r="P18" s="166">
        <v>4.9740000000000002</v>
      </c>
      <c r="Q18" s="167">
        <v>13753.871999999999</v>
      </c>
      <c r="R18" s="166">
        <f t="shared" si="7"/>
        <v>68.412000000000006</v>
      </c>
      <c r="S18" s="167">
        <f t="shared" si="0"/>
        <v>19.896000000000001</v>
      </c>
      <c r="T18" s="167">
        <f t="shared" si="1"/>
        <v>256.84400000000005</v>
      </c>
      <c r="U18" s="15">
        <v>19.785</v>
      </c>
      <c r="V18" s="168">
        <f t="shared" si="3"/>
        <v>-0.11100000000000065</v>
      </c>
    </row>
    <row r="19" spans="1:25" ht="21.75" customHeight="1" x14ac:dyDescent="0.2">
      <c r="A19" s="15">
        <v>9</v>
      </c>
      <c r="B19" s="24" t="s">
        <v>115</v>
      </c>
      <c r="C19" s="142" t="s">
        <v>370</v>
      </c>
      <c r="D19" s="190" t="s">
        <v>61</v>
      </c>
      <c r="E19" s="166">
        <v>11.734999999999999</v>
      </c>
      <c r="F19" s="167">
        <v>11898.48</v>
      </c>
      <c r="G19" s="167">
        <f t="shared" si="2"/>
        <v>1189.848</v>
      </c>
      <c r="H19" s="167">
        <v>11898.48</v>
      </c>
      <c r="I19" s="166">
        <f t="shared" si="5"/>
        <v>139.62899999999999</v>
      </c>
      <c r="J19" s="166">
        <v>0.64600000000000002</v>
      </c>
      <c r="K19" s="167">
        <v>11898.48</v>
      </c>
      <c r="L19" s="166">
        <f t="shared" si="6"/>
        <v>7.6859999999999999</v>
      </c>
      <c r="M19" s="166">
        <v>0</v>
      </c>
      <c r="N19" s="167">
        <v>13564.2672</v>
      </c>
      <c r="O19" s="166">
        <f t="shared" si="4"/>
        <v>0</v>
      </c>
      <c r="P19" s="166">
        <v>6.8310000000000004</v>
      </c>
      <c r="Q19" s="167">
        <v>13564.2672</v>
      </c>
      <c r="R19" s="166">
        <f t="shared" si="7"/>
        <v>92.658000000000001</v>
      </c>
      <c r="S19" s="167">
        <f t="shared" si="0"/>
        <v>19.212</v>
      </c>
      <c r="T19" s="167">
        <f t="shared" si="1"/>
        <v>239.97300000000001</v>
      </c>
      <c r="U19" s="15">
        <v>43.27</v>
      </c>
      <c r="V19" s="168">
        <f t="shared" si="3"/>
        <v>24.058000000000003</v>
      </c>
      <c r="W19" s="15" t="s">
        <v>252</v>
      </c>
    </row>
    <row r="20" spans="1:25" ht="21.75" customHeight="1" x14ac:dyDescent="0.2">
      <c r="A20" s="15">
        <v>10</v>
      </c>
      <c r="B20" s="24" t="s">
        <v>116</v>
      </c>
      <c r="C20" s="142" t="s">
        <v>344</v>
      </c>
      <c r="D20" s="190" t="s">
        <v>61</v>
      </c>
      <c r="E20" s="166">
        <v>7.5030000000000001</v>
      </c>
      <c r="F20" s="167">
        <v>12059.52</v>
      </c>
      <c r="G20" s="167">
        <f t="shared" si="2"/>
        <v>1205.952</v>
      </c>
      <c r="H20" s="167">
        <v>12059.52</v>
      </c>
      <c r="I20" s="166">
        <f t="shared" si="5"/>
        <v>90.483000000000004</v>
      </c>
      <c r="J20" s="166">
        <v>0.54300000000000004</v>
      </c>
      <c r="K20" s="167">
        <v>12059.52</v>
      </c>
      <c r="L20" s="166">
        <f t="shared" si="6"/>
        <v>6.548</v>
      </c>
      <c r="M20" s="166">
        <v>0</v>
      </c>
      <c r="N20" s="167">
        <v>13747.852800000001</v>
      </c>
      <c r="O20" s="166">
        <f t="shared" si="4"/>
        <v>0</v>
      </c>
      <c r="P20" s="166">
        <v>4.5529999999999999</v>
      </c>
      <c r="Q20" s="167">
        <v>13747.852800000001</v>
      </c>
      <c r="R20" s="166">
        <f t="shared" si="7"/>
        <v>62.594000000000001</v>
      </c>
      <c r="S20" s="167">
        <f t="shared" si="0"/>
        <v>12.599</v>
      </c>
      <c r="T20" s="167">
        <f t="shared" si="1"/>
        <v>159.625</v>
      </c>
      <c r="U20" s="15">
        <v>10.368</v>
      </c>
      <c r="V20" s="168">
        <f t="shared" si="3"/>
        <v>-2.2309999999999999</v>
      </c>
    </row>
    <row r="21" spans="1:25" ht="26.25" customHeight="1" x14ac:dyDescent="0.2">
      <c r="A21" s="15">
        <v>11</v>
      </c>
      <c r="B21" s="24" t="s">
        <v>117</v>
      </c>
      <c r="C21" s="142" t="s">
        <v>346</v>
      </c>
      <c r="D21" s="190" t="s">
        <v>61</v>
      </c>
      <c r="E21" s="166">
        <v>5.5190000000000001</v>
      </c>
      <c r="F21" s="167">
        <v>12123.1</v>
      </c>
      <c r="G21" s="167">
        <f t="shared" si="2"/>
        <v>1212.3100000000002</v>
      </c>
      <c r="H21" s="167">
        <v>12123.1</v>
      </c>
      <c r="I21" s="166">
        <f t="shared" si="5"/>
        <v>66.906999999999996</v>
      </c>
      <c r="J21" s="166">
        <v>1.4E-2</v>
      </c>
      <c r="K21" s="167">
        <v>12123.1</v>
      </c>
      <c r="L21" s="166">
        <f t="shared" si="6"/>
        <v>0.17</v>
      </c>
      <c r="M21" s="166">
        <v>0</v>
      </c>
      <c r="N21" s="167">
        <v>13820.334000000001</v>
      </c>
      <c r="O21" s="166">
        <f t="shared" si="4"/>
        <v>0</v>
      </c>
      <c r="P21" s="166">
        <v>3.3220000000000001</v>
      </c>
      <c r="Q21" s="167">
        <v>13820.334000000001</v>
      </c>
      <c r="R21" s="166">
        <f t="shared" si="7"/>
        <v>45.911000000000001</v>
      </c>
      <c r="S21" s="167">
        <f t="shared" si="0"/>
        <v>8.8550000000000004</v>
      </c>
      <c r="T21" s="167">
        <f t="shared" si="1"/>
        <v>112.988</v>
      </c>
      <c r="U21" s="15">
        <v>6.9619999999999997</v>
      </c>
      <c r="V21" s="168">
        <f t="shared" si="3"/>
        <v>-1.8930000000000007</v>
      </c>
    </row>
    <row r="22" spans="1:25" ht="26.25" customHeight="1" x14ac:dyDescent="0.2">
      <c r="A22" s="15">
        <v>12</v>
      </c>
      <c r="B22" s="24" t="s">
        <v>118</v>
      </c>
      <c r="C22" s="142" t="s">
        <v>371</v>
      </c>
      <c r="D22" s="190" t="s">
        <v>61</v>
      </c>
      <c r="E22" s="166">
        <v>7.9279999999999999</v>
      </c>
      <c r="F22" s="167">
        <v>11882.75</v>
      </c>
      <c r="G22" s="167">
        <f t="shared" si="2"/>
        <v>1188.2750000000001</v>
      </c>
      <c r="H22" s="167">
        <v>11882.75</v>
      </c>
      <c r="I22" s="166">
        <f t="shared" si="5"/>
        <v>94.206000000000003</v>
      </c>
      <c r="J22" s="166">
        <v>0.59</v>
      </c>
      <c r="K22" s="167">
        <v>11882.75</v>
      </c>
      <c r="L22" s="166">
        <f t="shared" si="6"/>
        <v>7.0110000000000001</v>
      </c>
      <c r="M22" s="166">
        <v>0</v>
      </c>
      <c r="N22" s="167">
        <v>13546.335000000001</v>
      </c>
      <c r="O22" s="166">
        <f t="shared" si="4"/>
        <v>0</v>
      </c>
      <c r="P22" s="166">
        <v>7.9889999999999999</v>
      </c>
      <c r="Q22" s="167">
        <v>13546.335000000001</v>
      </c>
      <c r="R22" s="166">
        <f t="shared" si="7"/>
        <v>108.22199999999999</v>
      </c>
      <c r="S22" s="167">
        <f t="shared" si="0"/>
        <v>16.507000000000001</v>
      </c>
      <c r="T22" s="167">
        <f t="shared" si="1"/>
        <v>209.43899999999999</v>
      </c>
      <c r="U22" s="15">
        <v>12.045999999999999</v>
      </c>
      <c r="V22" s="168">
        <f t="shared" si="3"/>
        <v>-4.4610000000000021</v>
      </c>
    </row>
    <row r="23" spans="1:25" ht="26.25" hidden="1" customHeight="1" x14ac:dyDescent="0.2">
      <c r="B23" s="24" t="s">
        <v>119</v>
      </c>
      <c r="C23" s="142" t="s">
        <v>289</v>
      </c>
      <c r="D23" s="190" t="s">
        <v>61</v>
      </c>
      <c r="E23" s="166">
        <v>0</v>
      </c>
      <c r="F23" s="167">
        <v>0</v>
      </c>
      <c r="G23" s="167">
        <f t="shared" si="2"/>
        <v>0</v>
      </c>
      <c r="H23" s="167">
        <v>0</v>
      </c>
      <c r="I23" s="166">
        <f t="shared" si="5"/>
        <v>0</v>
      </c>
      <c r="J23" s="166">
        <v>0</v>
      </c>
      <c r="K23" s="167">
        <v>0</v>
      </c>
      <c r="L23" s="166">
        <f t="shared" si="6"/>
        <v>0</v>
      </c>
      <c r="M23" s="166">
        <v>0</v>
      </c>
      <c r="N23" s="167">
        <v>0</v>
      </c>
      <c r="O23" s="166">
        <f t="shared" si="4"/>
        <v>0</v>
      </c>
      <c r="P23" s="166">
        <v>0</v>
      </c>
      <c r="Q23" s="167">
        <v>0</v>
      </c>
      <c r="R23" s="166">
        <f t="shared" si="7"/>
        <v>0</v>
      </c>
      <c r="S23" s="167">
        <f t="shared" si="0"/>
        <v>0</v>
      </c>
      <c r="T23" s="167">
        <f t="shared" si="1"/>
        <v>0</v>
      </c>
      <c r="U23" s="15">
        <v>9.6769999999999996</v>
      </c>
      <c r="V23" s="168">
        <f t="shared" si="3"/>
        <v>9.6769999999999996</v>
      </c>
    </row>
    <row r="24" spans="1:25" ht="26.25" customHeight="1" x14ac:dyDescent="0.2">
      <c r="A24" s="15">
        <v>13</v>
      </c>
      <c r="B24" s="24" t="s">
        <v>119</v>
      </c>
      <c r="C24" s="142" t="s">
        <v>372</v>
      </c>
      <c r="D24" s="190" t="s">
        <v>61</v>
      </c>
      <c r="E24" s="166">
        <v>4.9050000000000002</v>
      </c>
      <c r="F24" s="167">
        <v>12070.74</v>
      </c>
      <c r="G24" s="167">
        <f t="shared" si="2"/>
        <v>1207.0740000000001</v>
      </c>
      <c r="H24" s="167">
        <v>12070.74</v>
      </c>
      <c r="I24" s="166">
        <f t="shared" si="5"/>
        <v>59.207000000000001</v>
      </c>
      <c r="J24" s="166">
        <v>4.9530000000000003</v>
      </c>
      <c r="K24" s="167">
        <v>12070.74</v>
      </c>
      <c r="L24" s="166">
        <f t="shared" si="6"/>
        <v>59.786000000000001</v>
      </c>
      <c r="M24" s="166">
        <v>4.9530000000000003</v>
      </c>
      <c r="N24" s="167">
        <v>13760.643599999999</v>
      </c>
      <c r="O24" s="166">
        <f t="shared" si="4"/>
        <v>68.156000000000006</v>
      </c>
      <c r="P24" s="166">
        <v>4.9530000000000003</v>
      </c>
      <c r="Q24" s="167">
        <v>13760.643599999999</v>
      </c>
      <c r="R24" s="166">
        <f t="shared" si="7"/>
        <v>68.156000000000006</v>
      </c>
      <c r="S24" s="167">
        <f t="shared" si="0"/>
        <v>19.763999999999999</v>
      </c>
      <c r="T24" s="167">
        <f t="shared" si="1"/>
        <v>255.30500000000001</v>
      </c>
      <c r="U24" s="15">
        <v>19.702000000000002</v>
      </c>
      <c r="V24" s="168">
        <f t="shared" si="3"/>
        <v>-6.1999999999997613E-2</v>
      </c>
    </row>
    <row r="25" spans="1:25" ht="21.75" customHeight="1" x14ac:dyDescent="0.2">
      <c r="A25" s="15">
        <v>14</v>
      </c>
      <c r="B25" s="24" t="s">
        <v>120</v>
      </c>
      <c r="C25" s="142" t="s">
        <v>373</v>
      </c>
      <c r="D25" s="190" t="s">
        <v>61</v>
      </c>
      <c r="E25" s="166">
        <v>9.2319999999999993</v>
      </c>
      <c r="F25" s="167">
        <v>11835.34</v>
      </c>
      <c r="G25" s="167">
        <f t="shared" si="2"/>
        <v>1183.5340000000001</v>
      </c>
      <c r="H25" s="167">
        <v>11835.34</v>
      </c>
      <c r="I25" s="166">
        <f t="shared" si="5"/>
        <v>109.264</v>
      </c>
      <c r="J25" s="166">
        <v>0.50900000000000001</v>
      </c>
      <c r="K25" s="167">
        <v>11835.34</v>
      </c>
      <c r="L25" s="166">
        <f t="shared" si="6"/>
        <v>6.024</v>
      </c>
      <c r="M25" s="166">
        <v>0</v>
      </c>
      <c r="N25" s="167">
        <v>13492.2876</v>
      </c>
      <c r="O25" s="166">
        <f t="shared" si="4"/>
        <v>0</v>
      </c>
      <c r="P25" s="166">
        <v>4.8010000000000002</v>
      </c>
      <c r="Q25" s="167">
        <v>13492.2876</v>
      </c>
      <c r="R25" s="166">
        <f t="shared" si="7"/>
        <v>64.775999999999996</v>
      </c>
      <c r="S25" s="167">
        <f t="shared" si="0"/>
        <v>14.542</v>
      </c>
      <c r="T25" s="167">
        <f t="shared" si="1"/>
        <v>180.06399999999999</v>
      </c>
      <c r="U25" s="15">
        <v>44.695999999999998</v>
      </c>
      <c r="V25" s="168">
        <f t="shared" si="3"/>
        <v>30.153999999999996</v>
      </c>
      <c r="W25" s="15" t="s">
        <v>252</v>
      </c>
    </row>
    <row r="26" spans="1:25" ht="21.75" customHeight="1" x14ac:dyDescent="0.2">
      <c r="A26" s="15">
        <v>15</v>
      </c>
      <c r="B26" s="24" t="s">
        <v>121</v>
      </c>
      <c r="C26" s="142" t="s">
        <v>374</v>
      </c>
      <c r="D26" s="190" t="s">
        <v>61</v>
      </c>
      <c r="E26" s="166">
        <v>6.359</v>
      </c>
      <c r="F26" s="167">
        <v>11865.039999999999</v>
      </c>
      <c r="G26" s="167">
        <f t="shared" si="2"/>
        <v>1186.5039999999999</v>
      </c>
      <c r="H26" s="167">
        <v>11865.039999999999</v>
      </c>
      <c r="I26" s="166">
        <f t="shared" si="5"/>
        <v>75.45</v>
      </c>
      <c r="J26" s="166">
        <v>0.72099999999999997</v>
      </c>
      <c r="K26" s="167">
        <v>11865.039999999999</v>
      </c>
      <c r="L26" s="166">
        <f t="shared" si="6"/>
        <v>8.5549999999999997</v>
      </c>
      <c r="M26" s="166">
        <v>0</v>
      </c>
      <c r="N26" s="167">
        <v>13526.1456</v>
      </c>
      <c r="O26" s="166">
        <f t="shared" si="4"/>
        <v>0</v>
      </c>
      <c r="P26" s="166">
        <v>4.7889999999999997</v>
      </c>
      <c r="Q26" s="167">
        <v>13526.1456</v>
      </c>
      <c r="R26" s="166">
        <f t="shared" si="7"/>
        <v>64.777000000000001</v>
      </c>
      <c r="S26" s="167">
        <f t="shared" si="0"/>
        <v>11.869</v>
      </c>
      <c r="T26" s="167">
        <f t="shared" si="1"/>
        <v>148.78199999999998</v>
      </c>
      <c r="U26" s="15">
        <v>13.449</v>
      </c>
      <c r="V26" s="168">
        <f t="shared" si="3"/>
        <v>1.58</v>
      </c>
    </row>
    <row r="27" spans="1:25" ht="21.75" customHeight="1" x14ac:dyDescent="0.2">
      <c r="A27" s="15">
        <v>16</v>
      </c>
      <c r="B27" s="24" t="s">
        <v>122</v>
      </c>
      <c r="C27" s="142" t="s">
        <v>375</v>
      </c>
      <c r="D27" s="190" t="s">
        <v>61</v>
      </c>
      <c r="E27" s="166">
        <v>4.5359999999999996</v>
      </c>
      <c r="F27" s="167">
        <v>11920.59</v>
      </c>
      <c r="G27" s="167">
        <f t="shared" si="2"/>
        <v>1192.059</v>
      </c>
      <c r="H27" s="167">
        <v>11920.59</v>
      </c>
      <c r="I27" s="166">
        <f t="shared" si="5"/>
        <v>54.072000000000003</v>
      </c>
      <c r="J27" s="166">
        <v>0.64400000000000002</v>
      </c>
      <c r="K27" s="167">
        <v>11920.59</v>
      </c>
      <c r="L27" s="166">
        <f t="shared" si="6"/>
        <v>7.6769999999999996</v>
      </c>
      <c r="M27" s="166">
        <v>0</v>
      </c>
      <c r="N27" s="167">
        <v>13589.472600000001</v>
      </c>
      <c r="O27" s="166">
        <f t="shared" si="4"/>
        <v>0</v>
      </c>
      <c r="P27" s="166">
        <v>3.4790000000000001</v>
      </c>
      <c r="Q27" s="167">
        <v>13589.472600000001</v>
      </c>
      <c r="R27" s="166">
        <f t="shared" si="7"/>
        <v>47.277999999999999</v>
      </c>
      <c r="S27" s="167">
        <f t="shared" si="0"/>
        <v>8.6589999999999989</v>
      </c>
      <c r="T27" s="167">
        <f t="shared" si="1"/>
        <v>109.027</v>
      </c>
      <c r="U27" s="15">
        <v>10.57</v>
      </c>
      <c r="V27" s="168">
        <f t="shared" si="3"/>
        <v>1.9110000000000014</v>
      </c>
    </row>
    <row r="28" spans="1:25" ht="21.75" customHeight="1" x14ac:dyDescent="0.2">
      <c r="A28" s="15">
        <v>17</v>
      </c>
      <c r="B28" s="24" t="s">
        <v>123</v>
      </c>
      <c r="C28" s="142" t="s">
        <v>376</v>
      </c>
      <c r="D28" s="190" t="s">
        <v>61</v>
      </c>
      <c r="E28" s="166">
        <v>12.167</v>
      </c>
      <c r="F28" s="167">
        <v>11952.16</v>
      </c>
      <c r="G28" s="167">
        <f t="shared" si="2"/>
        <v>1195.2160000000001</v>
      </c>
      <c r="H28" s="167">
        <v>11952.16</v>
      </c>
      <c r="I28" s="166">
        <f t="shared" si="5"/>
        <v>145.422</v>
      </c>
      <c r="J28" s="166">
        <v>0.53</v>
      </c>
      <c r="K28" s="167">
        <v>11952.16</v>
      </c>
      <c r="L28" s="166">
        <f t="shared" si="6"/>
        <v>6.335</v>
      </c>
      <c r="M28" s="166">
        <v>0</v>
      </c>
      <c r="N28" s="167">
        <v>13625.4624</v>
      </c>
      <c r="O28" s="166">
        <f t="shared" si="4"/>
        <v>0</v>
      </c>
      <c r="P28" s="166">
        <v>10.673999999999999</v>
      </c>
      <c r="Q28" s="167">
        <v>13625.4624</v>
      </c>
      <c r="R28" s="166">
        <f t="shared" si="7"/>
        <v>145.43799999999999</v>
      </c>
      <c r="S28" s="167">
        <f t="shared" si="0"/>
        <v>23.370999999999999</v>
      </c>
      <c r="T28" s="167">
        <f t="shared" si="1"/>
        <v>297.19499999999999</v>
      </c>
      <c r="U28" s="15">
        <v>26.413</v>
      </c>
      <c r="V28" s="168">
        <f t="shared" si="3"/>
        <v>3.0420000000000016</v>
      </c>
    </row>
    <row r="29" spans="1:25" ht="21.75" hidden="1" customHeight="1" x14ac:dyDescent="0.2">
      <c r="B29" s="24" t="s">
        <v>125</v>
      </c>
      <c r="C29" s="142" t="s">
        <v>290</v>
      </c>
      <c r="D29" s="190" t="s">
        <v>61</v>
      </c>
      <c r="E29" s="166">
        <v>0</v>
      </c>
      <c r="F29" s="167">
        <v>0</v>
      </c>
      <c r="G29" s="167">
        <f t="shared" si="2"/>
        <v>0</v>
      </c>
      <c r="H29" s="167">
        <v>0</v>
      </c>
      <c r="I29" s="166">
        <f t="shared" si="5"/>
        <v>0</v>
      </c>
      <c r="J29" s="166">
        <v>0</v>
      </c>
      <c r="K29" s="167">
        <v>0</v>
      </c>
      <c r="L29" s="166">
        <f t="shared" si="6"/>
        <v>0</v>
      </c>
      <c r="M29" s="166">
        <v>0</v>
      </c>
      <c r="N29" s="167">
        <v>0</v>
      </c>
      <c r="O29" s="166">
        <f t="shared" si="4"/>
        <v>0</v>
      </c>
      <c r="P29" s="166">
        <v>0</v>
      </c>
      <c r="Q29" s="167">
        <v>0</v>
      </c>
      <c r="R29" s="166">
        <f t="shared" si="7"/>
        <v>0</v>
      </c>
      <c r="S29" s="167">
        <f t="shared" si="0"/>
        <v>0</v>
      </c>
      <c r="T29" s="167">
        <f t="shared" si="1"/>
        <v>0</v>
      </c>
      <c r="U29" s="15">
        <v>3.6640000000000001</v>
      </c>
      <c r="V29" s="168">
        <f t="shared" si="3"/>
        <v>3.6640000000000001</v>
      </c>
    </row>
    <row r="30" spans="1:25" ht="21.75" customHeight="1" x14ac:dyDescent="0.2">
      <c r="B30" s="24" t="s">
        <v>124</v>
      </c>
      <c r="C30" s="142" t="s">
        <v>377</v>
      </c>
      <c r="D30" s="190" t="s">
        <v>61</v>
      </c>
      <c r="E30" s="166">
        <f>E31+E32</f>
        <v>13.873999999999999</v>
      </c>
      <c r="F30" s="167"/>
      <c r="G30" s="167"/>
      <c r="H30" s="167"/>
      <c r="I30" s="166">
        <f>I31+I32</f>
        <v>168.08799999999999</v>
      </c>
      <c r="J30" s="166">
        <f>J31+J32</f>
        <v>1.5489999999999999</v>
      </c>
      <c r="K30" s="167"/>
      <c r="L30" s="166">
        <f>L31+L32</f>
        <v>18.765999999999998</v>
      </c>
      <c r="M30" s="166">
        <f>M31+M32</f>
        <v>0</v>
      </c>
      <c r="N30" s="167">
        <v>0</v>
      </c>
      <c r="O30" s="166">
        <f>O31+O32</f>
        <v>0</v>
      </c>
      <c r="P30" s="166">
        <f>P31+P32</f>
        <v>18.883000000000003</v>
      </c>
      <c r="Q30" s="167">
        <v>0</v>
      </c>
      <c r="R30" s="166">
        <f>R31+R32</f>
        <v>261.00599999999997</v>
      </c>
      <c r="S30" s="167">
        <f t="shared" si="0"/>
        <v>34.305999999999997</v>
      </c>
      <c r="T30" s="167">
        <f t="shared" si="1"/>
        <v>447.85999999999996</v>
      </c>
      <c r="U30" s="15">
        <v>37.26</v>
      </c>
      <c r="V30" s="168">
        <f t="shared" si="3"/>
        <v>2.9540000000000006</v>
      </c>
      <c r="W30" s="15" t="s">
        <v>252</v>
      </c>
      <c r="Y30" s="217"/>
    </row>
    <row r="31" spans="1:25" ht="48.75" customHeight="1" x14ac:dyDescent="0.2">
      <c r="A31" s="15">
        <v>18</v>
      </c>
      <c r="B31" s="24" t="s">
        <v>294</v>
      </c>
      <c r="C31" s="142" t="s">
        <v>378</v>
      </c>
      <c r="D31" s="190" t="s">
        <v>61</v>
      </c>
      <c r="E31" s="166">
        <v>10.308</v>
      </c>
      <c r="F31" s="167">
        <v>12106.820000000002</v>
      </c>
      <c r="G31" s="167">
        <f t="shared" si="2"/>
        <v>1210.6820000000002</v>
      </c>
      <c r="H31" s="167">
        <v>12106.820000000002</v>
      </c>
      <c r="I31" s="166">
        <f>ROUND((E31*F31/1000),3)</f>
        <v>124.797</v>
      </c>
      <c r="J31" s="166">
        <v>1.1850000000000001</v>
      </c>
      <c r="K31" s="167">
        <v>12106.820000000002</v>
      </c>
      <c r="L31" s="166">
        <f>ROUND((J31*K31/1000),3)</f>
        <v>14.347</v>
      </c>
      <c r="M31" s="166">
        <v>0</v>
      </c>
      <c r="N31" s="167">
        <v>13801.774800000003</v>
      </c>
      <c r="O31" s="166">
        <f t="shared" ref="O31:O39" si="8">ROUND((M31*N31/1000),3)</f>
        <v>0</v>
      </c>
      <c r="P31" s="166">
        <v>8.6660000000000004</v>
      </c>
      <c r="Q31" s="167">
        <v>13801.774800000003</v>
      </c>
      <c r="R31" s="166">
        <f>ROUND((P31*Q31/1000),3)</f>
        <v>119.60599999999999</v>
      </c>
      <c r="S31" s="167">
        <f t="shared" si="0"/>
        <v>20.158999999999999</v>
      </c>
      <c r="T31" s="167">
        <f t="shared" si="1"/>
        <v>258.75</v>
      </c>
      <c r="V31" s="168"/>
      <c r="Y31" s="217">
        <v>2</v>
      </c>
    </row>
    <row r="32" spans="1:25" ht="42.75" customHeight="1" x14ac:dyDescent="0.2">
      <c r="A32" s="15">
        <v>19</v>
      </c>
      <c r="B32" s="24" t="s">
        <v>295</v>
      </c>
      <c r="C32" s="142" t="s">
        <v>379</v>
      </c>
      <c r="D32" s="190" t="s">
        <v>61</v>
      </c>
      <c r="E32" s="166">
        <v>3.5659999999999998</v>
      </c>
      <c r="F32" s="167">
        <v>12140.039999999999</v>
      </c>
      <c r="G32" s="167">
        <f t="shared" si="2"/>
        <v>1214.0039999999999</v>
      </c>
      <c r="H32" s="167">
        <v>12140.039999999999</v>
      </c>
      <c r="I32" s="166">
        <f>ROUND((E32*F32/1000),3)</f>
        <v>43.290999999999997</v>
      </c>
      <c r="J32" s="166">
        <v>0.36399999999999999</v>
      </c>
      <c r="K32" s="167">
        <v>12140.039999999999</v>
      </c>
      <c r="L32" s="166">
        <f t="shared" ref="L32:L52" si="9">ROUND((J32*K32/1000),3)</f>
        <v>4.4189999999999996</v>
      </c>
      <c r="M32" s="166">
        <v>0</v>
      </c>
      <c r="N32" s="167">
        <v>13839.6456</v>
      </c>
      <c r="O32" s="166">
        <f t="shared" si="8"/>
        <v>0</v>
      </c>
      <c r="P32" s="166">
        <v>10.217000000000001</v>
      </c>
      <c r="Q32" s="167">
        <v>13839.6456</v>
      </c>
      <c r="R32" s="166">
        <f t="shared" ref="R32:R52" si="10">ROUND((P32*Q32/1000),3)</f>
        <v>141.4</v>
      </c>
      <c r="S32" s="167">
        <f t="shared" si="0"/>
        <v>14.147</v>
      </c>
      <c r="T32" s="167">
        <f t="shared" si="1"/>
        <v>189.11</v>
      </c>
      <c r="V32" s="168"/>
      <c r="Y32" s="217"/>
    </row>
    <row r="33" spans="1:25" ht="27" customHeight="1" x14ac:dyDescent="0.2">
      <c r="A33" s="15">
        <v>20</v>
      </c>
      <c r="B33" s="24" t="s">
        <v>125</v>
      </c>
      <c r="C33" s="142" t="s">
        <v>380</v>
      </c>
      <c r="D33" s="190" t="s">
        <v>61</v>
      </c>
      <c r="E33" s="166">
        <v>6.194</v>
      </c>
      <c r="F33" s="167">
        <v>11960.63</v>
      </c>
      <c r="G33" s="167">
        <f t="shared" si="2"/>
        <v>1196.0629999999999</v>
      </c>
      <c r="H33" s="167">
        <v>11960.63</v>
      </c>
      <c r="I33" s="166">
        <f>ROUND((E33*F33/1000),3)</f>
        <v>74.084000000000003</v>
      </c>
      <c r="J33" s="166">
        <v>1.044</v>
      </c>
      <c r="K33" s="167">
        <v>11960.63</v>
      </c>
      <c r="L33" s="166">
        <f t="shared" si="9"/>
        <v>12.487</v>
      </c>
      <c r="M33" s="166">
        <v>0</v>
      </c>
      <c r="N33" s="167">
        <v>13635.118199999999</v>
      </c>
      <c r="O33" s="166">
        <f t="shared" si="8"/>
        <v>0</v>
      </c>
      <c r="P33" s="166">
        <v>1.5249999999999999</v>
      </c>
      <c r="Q33" s="167">
        <v>13635.118199999999</v>
      </c>
      <c r="R33" s="166">
        <f t="shared" si="10"/>
        <v>20.794</v>
      </c>
      <c r="S33" s="167">
        <f t="shared" si="0"/>
        <v>8.7629999999999999</v>
      </c>
      <c r="T33" s="167">
        <f t="shared" si="1"/>
        <v>107.36499999999999</v>
      </c>
      <c r="U33" s="15">
        <v>13.503</v>
      </c>
      <c r="V33" s="168">
        <f t="shared" si="3"/>
        <v>4.74</v>
      </c>
      <c r="Y33" s="217"/>
    </row>
    <row r="34" spans="1:25" ht="19.5" customHeight="1" x14ac:dyDescent="0.2">
      <c r="A34" s="15">
        <v>21</v>
      </c>
      <c r="B34" s="24" t="s">
        <v>126</v>
      </c>
      <c r="C34" s="27" t="s">
        <v>307</v>
      </c>
      <c r="D34" s="190" t="s">
        <v>61</v>
      </c>
      <c r="E34" s="166">
        <v>6.23</v>
      </c>
      <c r="F34" s="167">
        <v>12070.74</v>
      </c>
      <c r="G34" s="167">
        <f t="shared" si="2"/>
        <v>1207.0740000000001</v>
      </c>
      <c r="H34" s="167">
        <v>12070.74</v>
      </c>
      <c r="I34" s="166">
        <f t="shared" ref="I34:I46" si="11">ROUND((E34*F34/1000),3)</f>
        <v>75.200999999999993</v>
      </c>
      <c r="J34" s="166">
        <v>6.3</v>
      </c>
      <c r="K34" s="167">
        <v>12070.74</v>
      </c>
      <c r="L34" s="166">
        <f t="shared" si="9"/>
        <v>76.046000000000006</v>
      </c>
      <c r="M34" s="166">
        <v>6.3</v>
      </c>
      <c r="N34" s="167">
        <v>13760.643599999999</v>
      </c>
      <c r="O34" s="166">
        <f t="shared" si="8"/>
        <v>86.691999999999993</v>
      </c>
      <c r="P34" s="166">
        <v>6.3</v>
      </c>
      <c r="Q34" s="167">
        <v>13760.643599999999</v>
      </c>
      <c r="R34" s="166">
        <f t="shared" si="10"/>
        <v>86.691999999999993</v>
      </c>
      <c r="S34" s="167">
        <f t="shared" si="0"/>
        <v>25.130000000000003</v>
      </c>
      <c r="T34" s="167">
        <f t="shared" si="1"/>
        <v>324.63100000000003</v>
      </c>
      <c r="U34" s="15">
        <v>25.06</v>
      </c>
      <c r="V34" s="168">
        <f t="shared" si="3"/>
        <v>-7.0000000000003837E-2</v>
      </c>
    </row>
    <row r="35" spans="1:25" ht="19.5" customHeight="1" x14ac:dyDescent="0.2">
      <c r="A35" s="15">
        <v>22</v>
      </c>
      <c r="B35" s="24" t="s">
        <v>127</v>
      </c>
      <c r="C35" s="218" t="s">
        <v>308</v>
      </c>
      <c r="D35" s="190" t="s">
        <v>61</v>
      </c>
      <c r="E35" s="166">
        <v>1.8220000000000001</v>
      </c>
      <c r="F35" s="167">
        <v>12227.6</v>
      </c>
      <c r="G35" s="167">
        <f t="shared" si="2"/>
        <v>1222.76</v>
      </c>
      <c r="H35" s="167">
        <v>12227.6</v>
      </c>
      <c r="I35" s="166">
        <f t="shared" si="11"/>
        <v>22.279</v>
      </c>
      <c r="J35" s="166">
        <v>1.8420000000000001</v>
      </c>
      <c r="K35" s="167">
        <v>12227.6</v>
      </c>
      <c r="L35" s="166">
        <f t="shared" si="9"/>
        <v>22.523</v>
      </c>
      <c r="M35" s="166">
        <v>1.8420000000000001</v>
      </c>
      <c r="N35" s="167">
        <v>13939.464</v>
      </c>
      <c r="O35" s="166">
        <f t="shared" si="8"/>
        <v>25.675999999999998</v>
      </c>
      <c r="P35" s="166">
        <v>1.8420000000000001</v>
      </c>
      <c r="Q35" s="167">
        <v>13939.464</v>
      </c>
      <c r="R35" s="166">
        <f t="shared" si="10"/>
        <v>25.675999999999998</v>
      </c>
      <c r="S35" s="167">
        <f t="shared" si="0"/>
        <v>7.3480000000000008</v>
      </c>
      <c r="T35" s="167">
        <f t="shared" si="1"/>
        <v>96.153999999999996</v>
      </c>
      <c r="U35" s="15">
        <v>7.327</v>
      </c>
      <c r="V35" s="168">
        <f t="shared" si="3"/>
        <v>-2.1000000000000796E-2</v>
      </c>
      <c r="Y35" s="219"/>
    </row>
    <row r="36" spans="1:25" ht="19.5" customHeight="1" x14ac:dyDescent="0.2">
      <c r="A36" s="15">
        <v>23</v>
      </c>
      <c r="B36" s="24" t="s">
        <v>128</v>
      </c>
      <c r="C36" s="218" t="s">
        <v>309</v>
      </c>
      <c r="D36" s="190" t="s">
        <v>61</v>
      </c>
      <c r="E36" s="166">
        <v>5.319</v>
      </c>
      <c r="F36" s="167">
        <v>12070.74</v>
      </c>
      <c r="G36" s="167">
        <f t="shared" si="2"/>
        <v>1207.0740000000001</v>
      </c>
      <c r="H36" s="167">
        <v>12070.74</v>
      </c>
      <c r="I36" s="166">
        <f t="shared" si="11"/>
        <v>64.203999999999994</v>
      </c>
      <c r="J36" s="166">
        <v>5.3789999999999996</v>
      </c>
      <c r="K36" s="167">
        <v>12070.74</v>
      </c>
      <c r="L36" s="166">
        <f t="shared" si="9"/>
        <v>64.929000000000002</v>
      </c>
      <c r="M36" s="166">
        <v>5.3789999999999996</v>
      </c>
      <c r="N36" s="167">
        <v>13760.643599999999</v>
      </c>
      <c r="O36" s="166">
        <f t="shared" si="8"/>
        <v>74.019000000000005</v>
      </c>
      <c r="P36" s="166">
        <v>5.3789999999999996</v>
      </c>
      <c r="Q36" s="167">
        <v>13760.643599999999</v>
      </c>
      <c r="R36" s="166">
        <f t="shared" si="10"/>
        <v>74.019000000000005</v>
      </c>
      <c r="S36" s="167">
        <f t="shared" si="0"/>
        <v>21.455999999999996</v>
      </c>
      <c r="T36" s="167">
        <f t="shared" si="1"/>
        <v>277.17099999999999</v>
      </c>
      <c r="U36" s="15">
        <v>21.396999999999998</v>
      </c>
      <c r="V36" s="168">
        <f t="shared" si="3"/>
        <v>-5.8999999999997499E-2</v>
      </c>
    </row>
    <row r="37" spans="1:25" ht="20.25" customHeight="1" x14ac:dyDescent="0.2">
      <c r="A37" s="15">
        <v>24</v>
      </c>
      <c r="B37" s="24" t="s">
        <v>129</v>
      </c>
      <c r="C37" s="218" t="s">
        <v>311</v>
      </c>
      <c r="D37" s="190" t="s">
        <v>61</v>
      </c>
      <c r="E37" s="166">
        <v>0.12</v>
      </c>
      <c r="F37" s="167">
        <v>12182.39</v>
      </c>
      <c r="G37" s="167">
        <f t="shared" si="2"/>
        <v>1218.239</v>
      </c>
      <c r="H37" s="167">
        <v>12182.39</v>
      </c>
      <c r="I37" s="166">
        <f t="shared" si="11"/>
        <v>1.462</v>
      </c>
      <c r="J37" s="166">
        <v>7.2999999999999995E-2</v>
      </c>
      <c r="K37" s="167">
        <v>12182.39</v>
      </c>
      <c r="L37" s="166">
        <f t="shared" si="9"/>
        <v>0.88900000000000001</v>
      </c>
      <c r="M37" s="166">
        <v>6.3E-2</v>
      </c>
      <c r="N37" s="167">
        <v>13887.9246</v>
      </c>
      <c r="O37" s="166">
        <f t="shared" si="8"/>
        <v>0.875</v>
      </c>
      <c r="P37" s="166">
        <v>8.4000000000000005E-2</v>
      </c>
      <c r="Q37" s="167">
        <v>13887.9246</v>
      </c>
      <c r="R37" s="166">
        <f t="shared" si="10"/>
        <v>1.167</v>
      </c>
      <c r="S37" s="167">
        <f t="shared" si="0"/>
        <v>0.34</v>
      </c>
      <c r="T37" s="167">
        <f t="shared" si="1"/>
        <v>4.3929999999999998</v>
      </c>
      <c r="U37" s="15">
        <v>0.315</v>
      </c>
      <c r="V37" s="168">
        <f t="shared" si="3"/>
        <v>-2.5000000000000022E-2</v>
      </c>
    </row>
    <row r="38" spans="1:25" ht="24.75" customHeight="1" x14ac:dyDescent="0.2">
      <c r="A38" s="15">
        <v>25</v>
      </c>
      <c r="B38" s="24" t="s">
        <v>130</v>
      </c>
      <c r="C38" s="218" t="s">
        <v>312</v>
      </c>
      <c r="D38" s="190" t="s">
        <v>61</v>
      </c>
      <c r="E38" s="166">
        <v>1.8220000000000001</v>
      </c>
      <c r="F38" s="167">
        <v>12227.6</v>
      </c>
      <c r="G38" s="167">
        <f t="shared" si="2"/>
        <v>1222.76</v>
      </c>
      <c r="H38" s="167">
        <v>12227.6</v>
      </c>
      <c r="I38" s="166">
        <f t="shared" si="11"/>
        <v>22.279</v>
      </c>
      <c r="J38" s="166">
        <v>1.8420000000000001</v>
      </c>
      <c r="K38" s="167">
        <v>12227.6</v>
      </c>
      <c r="L38" s="166">
        <f t="shared" si="9"/>
        <v>22.523</v>
      </c>
      <c r="M38" s="166">
        <v>1.8420000000000001</v>
      </c>
      <c r="N38" s="167">
        <v>13939.464</v>
      </c>
      <c r="O38" s="166">
        <f t="shared" si="8"/>
        <v>25.675999999999998</v>
      </c>
      <c r="P38" s="166">
        <v>1.8420000000000001</v>
      </c>
      <c r="Q38" s="167">
        <v>13939.464</v>
      </c>
      <c r="R38" s="166">
        <f t="shared" si="10"/>
        <v>25.675999999999998</v>
      </c>
      <c r="S38" s="167">
        <f t="shared" si="0"/>
        <v>7.3480000000000008</v>
      </c>
      <c r="T38" s="167">
        <f t="shared" si="1"/>
        <v>96.153999999999996</v>
      </c>
      <c r="U38" s="15">
        <v>7.2430000000000003</v>
      </c>
      <c r="V38" s="168">
        <f t="shared" si="3"/>
        <v>-0.10500000000000043</v>
      </c>
    </row>
    <row r="39" spans="1:25" ht="18" customHeight="1" x14ac:dyDescent="0.2">
      <c r="A39" s="15">
        <v>26</v>
      </c>
      <c r="B39" s="24" t="s">
        <v>131</v>
      </c>
      <c r="C39" s="142" t="s">
        <v>315</v>
      </c>
      <c r="D39" s="190" t="s">
        <v>61</v>
      </c>
      <c r="E39" s="166">
        <v>9.1769999999999996</v>
      </c>
      <c r="F39" s="167">
        <v>11881.98</v>
      </c>
      <c r="G39" s="167">
        <f t="shared" si="2"/>
        <v>1188.1980000000001</v>
      </c>
      <c r="H39" s="167">
        <v>11881.98</v>
      </c>
      <c r="I39" s="166">
        <f t="shared" si="11"/>
        <v>109.041</v>
      </c>
      <c r="J39" s="166">
        <v>0.38800000000000001</v>
      </c>
      <c r="K39" s="167">
        <v>11881.98</v>
      </c>
      <c r="L39" s="166">
        <f t="shared" si="9"/>
        <v>4.6100000000000003</v>
      </c>
      <c r="M39" s="166">
        <v>0</v>
      </c>
      <c r="N39" s="167">
        <v>13545.457199999999</v>
      </c>
      <c r="O39" s="166">
        <f t="shared" si="8"/>
        <v>0</v>
      </c>
      <c r="P39" s="166">
        <v>6.6550000000000002</v>
      </c>
      <c r="Q39" s="167">
        <v>13545.457199999999</v>
      </c>
      <c r="R39" s="166">
        <f t="shared" si="10"/>
        <v>90.144999999999996</v>
      </c>
      <c r="S39" s="167">
        <f t="shared" si="0"/>
        <v>16.22</v>
      </c>
      <c r="T39" s="167">
        <f t="shared" si="1"/>
        <v>203.79599999999999</v>
      </c>
      <c r="U39" s="15">
        <v>15.792999999999999</v>
      </c>
      <c r="V39" s="168">
        <f t="shared" si="3"/>
        <v>-0.4269999999999996</v>
      </c>
    </row>
    <row r="40" spans="1:25" ht="19.5" hidden="1" customHeight="1" x14ac:dyDescent="0.2">
      <c r="B40" s="24" t="s">
        <v>134</v>
      </c>
      <c r="C40" s="218" t="s">
        <v>291</v>
      </c>
      <c r="D40" s="190" t="s">
        <v>61</v>
      </c>
      <c r="E40" s="166">
        <v>0</v>
      </c>
      <c r="F40" s="167">
        <v>0</v>
      </c>
      <c r="G40" s="167">
        <f t="shared" si="2"/>
        <v>0</v>
      </c>
      <c r="H40" s="167">
        <v>0</v>
      </c>
      <c r="I40" s="166">
        <f t="shared" si="11"/>
        <v>0</v>
      </c>
      <c r="J40" s="166">
        <v>0</v>
      </c>
      <c r="K40" s="167">
        <v>0</v>
      </c>
      <c r="L40" s="166">
        <f t="shared" si="9"/>
        <v>0</v>
      </c>
      <c r="M40" s="166">
        <v>0</v>
      </c>
      <c r="N40" s="167">
        <v>0</v>
      </c>
      <c r="O40" s="166">
        <v>0</v>
      </c>
      <c r="P40" s="166">
        <v>0</v>
      </c>
      <c r="Q40" s="167">
        <v>0</v>
      </c>
      <c r="R40" s="166">
        <v>0</v>
      </c>
      <c r="S40" s="167">
        <v>0</v>
      </c>
      <c r="T40" s="167">
        <f t="shared" si="1"/>
        <v>0</v>
      </c>
      <c r="U40" s="15">
        <v>6.1669999999999998</v>
      </c>
      <c r="V40" s="168">
        <f t="shared" si="3"/>
        <v>6.1669999999999998</v>
      </c>
    </row>
    <row r="41" spans="1:25" ht="19.5" customHeight="1" x14ac:dyDescent="0.2">
      <c r="A41" s="15">
        <v>27</v>
      </c>
      <c r="B41" s="24" t="s">
        <v>132</v>
      </c>
      <c r="C41" s="27" t="s">
        <v>319</v>
      </c>
      <c r="D41" s="190" t="s">
        <v>61</v>
      </c>
      <c r="E41" s="166">
        <v>0.91100000000000003</v>
      </c>
      <c r="F41" s="167">
        <v>12227.6</v>
      </c>
      <c r="G41" s="167">
        <f t="shared" si="2"/>
        <v>1222.76</v>
      </c>
      <c r="H41" s="167">
        <v>12227.6</v>
      </c>
      <c r="I41" s="166">
        <f t="shared" si="11"/>
        <v>11.138999999999999</v>
      </c>
      <c r="J41" s="166">
        <v>0.92100000000000004</v>
      </c>
      <c r="K41" s="167">
        <v>12227.6</v>
      </c>
      <c r="L41" s="166">
        <f t="shared" si="9"/>
        <v>11.262</v>
      </c>
      <c r="M41" s="166">
        <v>0.92100000000000004</v>
      </c>
      <c r="N41" s="167">
        <v>13939.464</v>
      </c>
      <c r="O41" s="166">
        <f t="shared" ref="O41:O46" si="12">ROUND((M41*N41/1000),3)</f>
        <v>12.837999999999999</v>
      </c>
      <c r="P41" s="166">
        <v>1.228</v>
      </c>
      <c r="Q41" s="167">
        <v>13939.464</v>
      </c>
      <c r="R41" s="166">
        <f t="shared" si="10"/>
        <v>17.117999999999999</v>
      </c>
      <c r="S41" s="167">
        <f t="shared" ref="S41:S49" si="13">E41+J41+M41+P41</f>
        <v>3.9809999999999999</v>
      </c>
      <c r="T41" s="167">
        <f t="shared" si="1"/>
        <v>52.356999999999999</v>
      </c>
      <c r="U41" s="15">
        <v>3.6640000000000001</v>
      </c>
      <c r="V41" s="168">
        <f t="shared" si="3"/>
        <v>-0.31699999999999973</v>
      </c>
    </row>
    <row r="42" spans="1:25" ht="19.5" customHeight="1" x14ac:dyDescent="0.2">
      <c r="A42" s="15">
        <v>28</v>
      </c>
      <c r="B42" s="24" t="s">
        <v>133</v>
      </c>
      <c r="C42" s="142" t="s">
        <v>323</v>
      </c>
      <c r="D42" s="190" t="s">
        <v>61</v>
      </c>
      <c r="E42" s="166">
        <v>10.039</v>
      </c>
      <c r="F42" s="167">
        <v>11985.929999999998</v>
      </c>
      <c r="G42" s="167">
        <f t="shared" si="2"/>
        <v>1198.5929999999998</v>
      </c>
      <c r="H42" s="167">
        <v>11985.929999999998</v>
      </c>
      <c r="I42" s="166">
        <f t="shared" si="11"/>
        <v>120.327</v>
      </c>
      <c r="J42" s="166">
        <v>1.617</v>
      </c>
      <c r="K42" s="167">
        <v>11985.929999999998</v>
      </c>
      <c r="L42" s="166">
        <f t="shared" si="9"/>
        <v>19.381</v>
      </c>
      <c r="M42" s="166">
        <v>0</v>
      </c>
      <c r="N42" s="167">
        <v>13663.960199999998</v>
      </c>
      <c r="O42" s="166">
        <f t="shared" si="12"/>
        <v>0</v>
      </c>
      <c r="P42" s="166">
        <v>15.113</v>
      </c>
      <c r="Q42" s="167">
        <v>13663.960199999998</v>
      </c>
      <c r="R42" s="166">
        <f t="shared" si="10"/>
        <v>206.50299999999999</v>
      </c>
      <c r="S42" s="167">
        <f t="shared" si="13"/>
        <v>26.768999999999998</v>
      </c>
      <c r="T42" s="167">
        <f t="shared" si="1"/>
        <v>346.21100000000001</v>
      </c>
      <c r="U42" s="15">
        <v>31.81</v>
      </c>
      <c r="V42" s="168">
        <f t="shared" si="3"/>
        <v>5.0410000000000004</v>
      </c>
      <c r="W42" s="15" t="s">
        <v>252</v>
      </c>
    </row>
    <row r="43" spans="1:25" ht="19.5" customHeight="1" x14ac:dyDescent="0.2">
      <c r="A43" s="15">
        <v>29</v>
      </c>
      <c r="B43" s="24" t="s">
        <v>134</v>
      </c>
      <c r="C43" s="142" t="s">
        <v>325</v>
      </c>
      <c r="D43" s="190" t="s">
        <v>61</v>
      </c>
      <c r="E43" s="166">
        <v>10.093999999999999</v>
      </c>
      <c r="F43" s="167">
        <v>12247.51</v>
      </c>
      <c r="G43" s="167">
        <f t="shared" si="2"/>
        <v>1224.751</v>
      </c>
      <c r="H43" s="167">
        <v>12247.51</v>
      </c>
      <c r="I43" s="166">
        <f t="shared" si="11"/>
        <v>123.626</v>
      </c>
      <c r="J43" s="166">
        <v>1.173</v>
      </c>
      <c r="K43" s="167">
        <v>12247.51</v>
      </c>
      <c r="L43" s="166">
        <f t="shared" si="9"/>
        <v>14.366</v>
      </c>
      <c r="M43" s="166">
        <v>0</v>
      </c>
      <c r="N43" s="167">
        <v>13962.161400000001</v>
      </c>
      <c r="O43" s="166">
        <f t="shared" si="12"/>
        <v>0</v>
      </c>
      <c r="P43" s="166">
        <v>9.0500000000000007</v>
      </c>
      <c r="Q43" s="167">
        <v>13962.161400000001</v>
      </c>
      <c r="R43" s="166">
        <f t="shared" si="10"/>
        <v>126.358</v>
      </c>
      <c r="S43" s="167">
        <f t="shared" si="13"/>
        <v>20.317</v>
      </c>
      <c r="T43" s="167">
        <f t="shared" si="1"/>
        <v>264.35000000000002</v>
      </c>
      <c r="U43" s="15">
        <v>22.228999999999999</v>
      </c>
      <c r="V43" s="168">
        <f t="shared" si="3"/>
        <v>1.911999999999999</v>
      </c>
    </row>
    <row r="44" spans="1:25" ht="19.5" customHeight="1" x14ac:dyDescent="0.2">
      <c r="A44" s="15">
        <v>30</v>
      </c>
      <c r="B44" s="24" t="s">
        <v>135</v>
      </c>
      <c r="C44" s="27" t="s">
        <v>327</v>
      </c>
      <c r="D44" s="190" t="s">
        <v>61</v>
      </c>
      <c r="E44" s="166">
        <v>17.349</v>
      </c>
      <c r="F44" s="167">
        <v>11908.38</v>
      </c>
      <c r="G44" s="167">
        <f t="shared" si="2"/>
        <v>1190.838</v>
      </c>
      <c r="H44" s="167">
        <v>11908.38</v>
      </c>
      <c r="I44" s="166">
        <f t="shared" si="11"/>
        <v>206.59800000000001</v>
      </c>
      <c r="J44" s="166">
        <v>0</v>
      </c>
      <c r="K44" s="167">
        <v>11908.38</v>
      </c>
      <c r="L44" s="166">
        <f t="shared" si="9"/>
        <v>0</v>
      </c>
      <c r="M44" s="166">
        <v>0</v>
      </c>
      <c r="N44" s="167">
        <v>13575.553199999998</v>
      </c>
      <c r="O44" s="166">
        <f t="shared" si="12"/>
        <v>0</v>
      </c>
      <c r="P44" s="166">
        <v>6.8150000000000004</v>
      </c>
      <c r="Q44" s="167">
        <v>13575.553199999998</v>
      </c>
      <c r="R44" s="166">
        <f t="shared" si="10"/>
        <v>92.516999999999996</v>
      </c>
      <c r="S44" s="167">
        <f t="shared" si="13"/>
        <v>24.164000000000001</v>
      </c>
      <c r="T44" s="167">
        <f t="shared" si="1"/>
        <v>299.11500000000001</v>
      </c>
      <c r="U44" s="15">
        <v>21.206</v>
      </c>
      <c r="V44" s="168">
        <f t="shared" si="3"/>
        <v>-2.958000000000002</v>
      </c>
    </row>
    <row r="45" spans="1:25" ht="19.5" customHeight="1" x14ac:dyDescent="0.2">
      <c r="A45" s="15">
        <v>31</v>
      </c>
      <c r="B45" s="24" t="s">
        <v>136</v>
      </c>
      <c r="C45" s="142" t="s">
        <v>333</v>
      </c>
      <c r="D45" s="190" t="s">
        <v>61</v>
      </c>
      <c r="E45" s="166">
        <v>7.1390000000000002</v>
      </c>
      <c r="F45" s="167">
        <v>12290.85</v>
      </c>
      <c r="G45" s="167">
        <f t="shared" si="2"/>
        <v>1229.085</v>
      </c>
      <c r="H45" s="167">
        <v>12290.85</v>
      </c>
      <c r="I45" s="166">
        <f t="shared" si="11"/>
        <v>87.744</v>
      </c>
      <c r="J45" s="166">
        <v>0.33100000000000002</v>
      </c>
      <c r="K45" s="167">
        <v>12290.85</v>
      </c>
      <c r="L45" s="166">
        <f t="shared" si="9"/>
        <v>4.0679999999999996</v>
      </c>
      <c r="M45" s="166">
        <v>0</v>
      </c>
      <c r="N45" s="167">
        <v>14011.569000000001</v>
      </c>
      <c r="O45" s="166">
        <f t="shared" si="12"/>
        <v>0</v>
      </c>
      <c r="P45" s="166">
        <v>5.8319999999999999</v>
      </c>
      <c r="Q45" s="167">
        <v>14011.569000000001</v>
      </c>
      <c r="R45" s="166">
        <f t="shared" si="10"/>
        <v>81.715000000000003</v>
      </c>
      <c r="S45" s="167">
        <f t="shared" si="13"/>
        <v>13.302</v>
      </c>
      <c r="T45" s="167">
        <f t="shared" si="1"/>
        <v>173.52699999999999</v>
      </c>
      <c r="U45" s="15">
        <v>5.5129999999999999</v>
      </c>
      <c r="V45" s="168">
        <f t="shared" si="3"/>
        <v>-7.7889999999999997</v>
      </c>
    </row>
    <row r="46" spans="1:25" ht="19.5" customHeight="1" x14ac:dyDescent="0.2">
      <c r="A46" s="15">
        <v>32</v>
      </c>
      <c r="B46" s="24" t="s">
        <v>137</v>
      </c>
      <c r="C46" s="142" t="s">
        <v>334</v>
      </c>
      <c r="D46" s="190" t="s">
        <v>61</v>
      </c>
      <c r="E46" s="166">
        <v>4.0640000000000001</v>
      </c>
      <c r="F46" s="167">
        <v>12079.65</v>
      </c>
      <c r="G46" s="167">
        <f t="shared" si="2"/>
        <v>1207.9649999999999</v>
      </c>
      <c r="H46" s="167">
        <v>12079.65</v>
      </c>
      <c r="I46" s="166">
        <f t="shared" si="11"/>
        <v>49.091999999999999</v>
      </c>
      <c r="J46" s="166">
        <v>8.6999999999999994E-2</v>
      </c>
      <c r="K46" s="167">
        <v>12079.65</v>
      </c>
      <c r="L46" s="166">
        <f t="shared" si="9"/>
        <v>1.0509999999999999</v>
      </c>
      <c r="M46" s="166">
        <v>0</v>
      </c>
      <c r="N46" s="167">
        <v>13770.800999999999</v>
      </c>
      <c r="O46" s="166">
        <f t="shared" si="12"/>
        <v>0</v>
      </c>
      <c r="P46" s="166">
        <v>5.359</v>
      </c>
      <c r="Q46" s="167">
        <v>13770.800999999999</v>
      </c>
      <c r="R46" s="166">
        <f t="shared" si="10"/>
        <v>73.798000000000002</v>
      </c>
      <c r="S46" s="167">
        <f t="shared" si="13"/>
        <v>9.51</v>
      </c>
      <c r="T46" s="167">
        <f t="shared" si="1"/>
        <v>123.941</v>
      </c>
      <c r="U46" s="15">
        <v>7.9669999999999996</v>
      </c>
      <c r="V46" s="168">
        <f t="shared" si="3"/>
        <v>-1.5430000000000001</v>
      </c>
    </row>
    <row r="47" spans="1:25" ht="39.75" customHeight="1" x14ac:dyDescent="0.2">
      <c r="B47" s="24" t="s">
        <v>146</v>
      </c>
      <c r="C47" s="27" t="s">
        <v>57</v>
      </c>
      <c r="D47" s="190"/>
      <c r="E47" s="167">
        <f>ROUND((E48+E49),3)</f>
        <v>9.923</v>
      </c>
      <c r="F47" s="167"/>
      <c r="G47" s="167"/>
      <c r="H47" s="167"/>
      <c r="I47" s="167">
        <f>ROUND((I48+I49),3)</f>
        <v>119.288</v>
      </c>
      <c r="J47" s="167">
        <f>ROUND((J48+J49),3)</f>
        <v>0.50900000000000001</v>
      </c>
      <c r="K47" s="167"/>
      <c r="L47" s="167">
        <f>ROUND((L48+L49),3)</f>
        <v>6.1210000000000004</v>
      </c>
      <c r="M47" s="167">
        <f>ROUND((M48+M49),3)</f>
        <v>0</v>
      </c>
      <c r="N47" s="167">
        <v>0</v>
      </c>
      <c r="O47" s="167">
        <f>ROUND((O48+O49),3)</f>
        <v>0</v>
      </c>
      <c r="P47" s="167">
        <f>ROUND((P48+P49),3)</f>
        <v>3.819</v>
      </c>
      <c r="Q47" s="167">
        <v>0</v>
      </c>
      <c r="R47" s="167">
        <f>ROUND((R48+R49),3)</f>
        <v>52.362000000000002</v>
      </c>
      <c r="S47" s="167">
        <f t="shared" si="13"/>
        <v>14.251000000000001</v>
      </c>
      <c r="T47" s="167">
        <f t="shared" si="1"/>
        <v>177.77099999999999</v>
      </c>
      <c r="V47" s="168">
        <f t="shared" si="3"/>
        <v>-14.251000000000001</v>
      </c>
    </row>
    <row r="48" spans="1:25" ht="15.75" customHeight="1" x14ac:dyDescent="0.2">
      <c r="A48" s="15">
        <v>33</v>
      </c>
      <c r="B48" s="24" t="s">
        <v>147</v>
      </c>
      <c r="C48" s="27" t="s">
        <v>381</v>
      </c>
      <c r="D48" s="190" t="s">
        <v>61</v>
      </c>
      <c r="E48" s="167">
        <v>7.1040000000000001</v>
      </c>
      <c r="F48" s="167">
        <v>12011.560000000001</v>
      </c>
      <c r="G48" s="167">
        <f t="shared" si="2"/>
        <v>1201.1560000000002</v>
      </c>
      <c r="H48" s="167">
        <v>12011.560000000001</v>
      </c>
      <c r="I48" s="166">
        <f>ROUND((E48*F48/1000),3)</f>
        <v>85.33</v>
      </c>
      <c r="J48" s="167">
        <v>0.30099999999999999</v>
      </c>
      <c r="K48" s="167">
        <v>12011.560000000001</v>
      </c>
      <c r="L48" s="166">
        <f t="shared" si="9"/>
        <v>3.6150000000000002</v>
      </c>
      <c r="M48" s="167">
        <v>0</v>
      </c>
      <c r="N48" s="167">
        <v>13693.178400000001</v>
      </c>
      <c r="O48" s="166">
        <f>ROUND((M48*N48/1000),3)</f>
        <v>0</v>
      </c>
      <c r="P48" s="167">
        <v>2.0950000000000002</v>
      </c>
      <c r="Q48" s="167">
        <v>13693.178400000001</v>
      </c>
      <c r="R48" s="166">
        <f t="shared" si="10"/>
        <v>28.687000000000001</v>
      </c>
      <c r="S48" s="167">
        <f t="shared" si="13"/>
        <v>9.5</v>
      </c>
      <c r="T48" s="167">
        <f t="shared" si="1"/>
        <v>117.63199999999999</v>
      </c>
      <c r="U48" s="15">
        <v>7.96</v>
      </c>
      <c r="V48" s="168">
        <f t="shared" si="3"/>
        <v>-1.54</v>
      </c>
    </row>
    <row r="49" spans="1:27" ht="27.75" customHeight="1" x14ac:dyDescent="0.2">
      <c r="A49" s="15">
        <v>34</v>
      </c>
      <c r="B49" s="24" t="s">
        <v>148</v>
      </c>
      <c r="C49" s="27" t="s">
        <v>365</v>
      </c>
      <c r="D49" s="190" t="s">
        <v>61</v>
      </c>
      <c r="E49" s="167">
        <v>2.819</v>
      </c>
      <c r="F49" s="167">
        <v>12046.210000000001</v>
      </c>
      <c r="G49" s="167">
        <f t="shared" si="2"/>
        <v>1204.6210000000001</v>
      </c>
      <c r="H49" s="167">
        <v>12046.210000000001</v>
      </c>
      <c r="I49" s="166">
        <f>ROUND((E49*F49/1000),3)</f>
        <v>33.957999999999998</v>
      </c>
      <c r="J49" s="167">
        <v>0.20799999999999999</v>
      </c>
      <c r="K49" s="167">
        <v>12046.210000000001</v>
      </c>
      <c r="L49" s="166">
        <f t="shared" si="9"/>
        <v>2.5059999999999998</v>
      </c>
      <c r="M49" s="167">
        <v>0</v>
      </c>
      <c r="N49" s="167">
        <v>13732.679400000001</v>
      </c>
      <c r="O49" s="166">
        <f>ROUND((M49*N49/1000),3)</f>
        <v>0</v>
      </c>
      <c r="P49" s="167">
        <v>1.724</v>
      </c>
      <c r="Q49" s="167">
        <v>13732.679400000001</v>
      </c>
      <c r="R49" s="166">
        <f t="shared" si="10"/>
        <v>23.675000000000001</v>
      </c>
      <c r="S49" s="167">
        <f t="shared" si="13"/>
        <v>4.7510000000000003</v>
      </c>
      <c r="T49" s="167">
        <f t="shared" si="1"/>
        <v>60.138999999999996</v>
      </c>
      <c r="U49" s="15">
        <v>3.87</v>
      </c>
      <c r="V49" s="168">
        <f t="shared" si="3"/>
        <v>-0.88100000000000023</v>
      </c>
    </row>
    <row r="50" spans="1:27" ht="50.25" customHeight="1" x14ac:dyDescent="0.2">
      <c r="B50" s="24" t="s">
        <v>149</v>
      </c>
      <c r="C50" s="27" t="s">
        <v>56</v>
      </c>
      <c r="D50" s="190"/>
      <c r="E50" s="167">
        <f>ROUND((E51+E52),3)</f>
        <v>87.102000000000004</v>
      </c>
      <c r="F50" s="167"/>
      <c r="G50" s="167"/>
      <c r="H50" s="167"/>
      <c r="I50" s="167">
        <f>ROUND((I51+I52),3)</f>
        <v>1040.211</v>
      </c>
      <c r="J50" s="167">
        <f>ROUND((J51+J52),3)</f>
        <v>11.198</v>
      </c>
      <c r="K50" s="167"/>
      <c r="L50" s="167">
        <f>ROUND((L51+L52),3)</f>
        <v>133.72300000000001</v>
      </c>
      <c r="M50" s="167">
        <f>ROUND((M51+M52),3)</f>
        <v>0</v>
      </c>
      <c r="N50" s="167">
        <v>0</v>
      </c>
      <c r="O50" s="167">
        <f>ROUND((O51+O52),3)</f>
        <v>0</v>
      </c>
      <c r="P50" s="167">
        <f>ROUND((P51+P52),3)</f>
        <v>60.225000000000001</v>
      </c>
      <c r="Q50" s="167">
        <v>0</v>
      </c>
      <c r="R50" s="167">
        <f>ROUND((R51+R52),3)</f>
        <v>819.94</v>
      </c>
      <c r="S50" s="167">
        <f>S51+S52</f>
        <v>158.52499999999998</v>
      </c>
      <c r="T50" s="167">
        <f>T51+T52</f>
        <v>1993.8739999999998</v>
      </c>
      <c r="V50" s="168">
        <f t="shared" si="3"/>
        <v>-158.52499999999998</v>
      </c>
      <c r="Y50" s="217"/>
    </row>
    <row r="51" spans="1:27" ht="15.75" customHeight="1" x14ac:dyDescent="0.2">
      <c r="A51" s="15">
        <v>35</v>
      </c>
      <c r="B51" s="24" t="s">
        <v>150</v>
      </c>
      <c r="C51" s="27" t="s">
        <v>382</v>
      </c>
      <c r="D51" s="190" t="s">
        <v>61</v>
      </c>
      <c r="E51" s="167">
        <v>16.102</v>
      </c>
      <c r="F51" s="167">
        <v>11934.01</v>
      </c>
      <c r="G51" s="167">
        <f t="shared" si="2"/>
        <v>1193.4010000000001</v>
      </c>
      <c r="H51" s="167">
        <v>11934.01</v>
      </c>
      <c r="I51" s="166">
        <f>ROUND((E51*F51/1000),3)</f>
        <v>192.161</v>
      </c>
      <c r="J51" s="167">
        <v>2.8740000000000001</v>
      </c>
      <c r="K51" s="167">
        <v>11934.01</v>
      </c>
      <c r="L51" s="166">
        <f t="shared" si="9"/>
        <v>34.298000000000002</v>
      </c>
      <c r="M51" s="167">
        <v>0</v>
      </c>
      <c r="N51" s="167">
        <v>13604.7714</v>
      </c>
      <c r="O51" s="166">
        <f>ROUND((M51*N51/1000),3)</f>
        <v>0</v>
      </c>
      <c r="P51" s="167">
        <v>10.032999999999999</v>
      </c>
      <c r="Q51" s="167">
        <v>13604.7714</v>
      </c>
      <c r="R51" s="166">
        <f t="shared" si="10"/>
        <v>136.49700000000001</v>
      </c>
      <c r="S51" s="167">
        <f>E51+J51+M51+P51</f>
        <v>29.009</v>
      </c>
      <c r="T51" s="167">
        <f>I51+L51+O51+R51</f>
        <v>362.95600000000002</v>
      </c>
      <c r="U51" s="15">
        <v>29.92</v>
      </c>
      <c r="V51" s="168">
        <f t="shared" si="3"/>
        <v>0.91100000000000136</v>
      </c>
    </row>
    <row r="52" spans="1:27" ht="15" customHeight="1" x14ac:dyDescent="0.2">
      <c r="A52" s="15">
        <v>36</v>
      </c>
      <c r="B52" s="24" t="s">
        <v>151</v>
      </c>
      <c r="C52" s="27" t="s">
        <v>303</v>
      </c>
      <c r="D52" s="190" t="s">
        <v>61</v>
      </c>
      <c r="E52" s="167">
        <v>71</v>
      </c>
      <c r="F52" s="167">
        <v>11944.361000000001</v>
      </c>
      <c r="G52" s="167">
        <f t="shared" si="2"/>
        <v>1194.4361000000001</v>
      </c>
      <c r="H52" s="167">
        <v>11944.361000000001</v>
      </c>
      <c r="I52" s="166">
        <f>ROUND((E52*F52/1000),3)</f>
        <v>848.05</v>
      </c>
      <c r="J52" s="167">
        <v>8.3239999999999998</v>
      </c>
      <c r="K52" s="167">
        <v>11944.361000000001</v>
      </c>
      <c r="L52" s="166">
        <f t="shared" si="9"/>
        <v>99.424999999999997</v>
      </c>
      <c r="M52" s="167">
        <v>0</v>
      </c>
      <c r="N52" s="167">
        <v>13616.571540000001</v>
      </c>
      <c r="O52" s="166">
        <f>ROUND((M52*N52/1000),3)</f>
        <v>0</v>
      </c>
      <c r="P52" s="167">
        <v>50.192</v>
      </c>
      <c r="Q52" s="167">
        <v>13616.571540000001</v>
      </c>
      <c r="R52" s="166">
        <f t="shared" si="10"/>
        <v>683.44299999999998</v>
      </c>
      <c r="S52" s="167">
        <f>E52+J52+M52+P52</f>
        <v>129.51599999999999</v>
      </c>
      <c r="T52" s="167">
        <f>I52+L52+O52+R52</f>
        <v>1630.9179999999999</v>
      </c>
      <c r="U52" s="15">
        <v>128</v>
      </c>
      <c r="V52" s="168">
        <f t="shared" si="3"/>
        <v>-1.5159999999999911</v>
      </c>
    </row>
    <row r="53" spans="1:27" ht="13.5" customHeight="1" x14ac:dyDescent="0.2">
      <c r="B53" s="140"/>
      <c r="C53" s="137" t="s">
        <v>20</v>
      </c>
      <c r="D53" s="190"/>
      <c r="E53" s="166">
        <f>E9+E10+E47+E50</f>
        <v>298.322</v>
      </c>
      <c r="F53" s="166"/>
      <c r="G53" s="166"/>
      <c r="H53" s="166"/>
      <c r="I53" s="166">
        <f>I9+I10+I47+I50</f>
        <v>3579.5640000000003</v>
      </c>
      <c r="J53" s="166">
        <f>J9+J10+J47+J50</f>
        <v>57.877000000000002</v>
      </c>
      <c r="K53" s="166"/>
      <c r="L53" s="166">
        <f>L9+L10+L47+L50</f>
        <v>697.30299999999988</v>
      </c>
      <c r="M53" s="166">
        <f>M9+M10+M47+M50</f>
        <v>34.851999999999997</v>
      </c>
      <c r="N53" s="166"/>
      <c r="O53" s="166">
        <f>O9+O10+O47+O50</f>
        <v>480.613</v>
      </c>
      <c r="P53" s="166">
        <f>P9+P10+P47+P50</f>
        <v>236.38099999999997</v>
      </c>
      <c r="Q53" s="166"/>
      <c r="R53" s="166">
        <f>R9+R10+R47+R50</f>
        <v>3238.5750000000003</v>
      </c>
      <c r="S53" s="166">
        <f>S9+S10+S47+S50</f>
        <v>627.4319999999999</v>
      </c>
      <c r="T53" s="166">
        <f>T9+T10+T47+T50</f>
        <v>7996.0549999999994</v>
      </c>
      <c r="V53" s="15">
        <v>2025</v>
      </c>
      <c r="W53" s="15">
        <v>2026</v>
      </c>
    </row>
    <row r="54" spans="1:27" ht="54" customHeight="1" x14ac:dyDescent="0.25">
      <c r="B54" s="262" t="s">
        <v>302</v>
      </c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V54" s="15">
        <v>612.04999999999995</v>
      </c>
      <c r="W54" s="15">
        <v>597.08900000000006</v>
      </c>
      <c r="X54" s="15">
        <f>V54-W54</f>
        <v>14.960999999999899</v>
      </c>
      <c r="Y54" s="217">
        <v>3</v>
      </c>
    </row>
    <row r="55" spans="1:27" ht="19.5" customHeight="1" x14ac:dyDescent="0.2">
      <c r="S55" s="14"/>
      <c r="T55" s="14"/>
      <c r="X55" s="15">
        <f t="shared" ref="X55:X56" si="14">V55-W55</f>
        <v>0</v>
      </c>
    </row>
    <row r="56" spans="1:27" ht="118.5" customHeight="1" x14ac:dyDescent="0.3">
      <c r="B56" s="254" t="s">
        <v>292</v>
      </c>
      <c r="C56" s="255"/>
      <c r="D56" s="255"/>
      <c r="E56" s="255"/>
      <c r="F56" s="255"/>
      <c r="G56" s="255"/>
      <c r="H56" s="255"/>
      <c r="I56" s="255"/>
      <c r="J56" s="255"/>
      <c r="K56" s="174"/>
      <c r="L56" s="174"/>
      <c r="M56" s="174"/>
      <c r="N56" s="182"/>
      <c r="O56" s="28"/>
      <c r="P56" s="28"/>
      <c r="Q56" s="28"/>
      <c r="R56" s="250" t="s">
        <v>278</v>
      </c>
      <c r="S56" s="250"/>
      <c r="T56" s="250"/>
      <c r="U56" s="66"/>
      <c r="V56" s="66">
        <v>7549.8180000000002</v>
      </c>
      <c r="W56" s="66">
        <v>6683.7079999999996</v>
      </c>
      <c r="X56" s="15">
        <f t="shared" si="14"/>
        <v>866.11000000000058</v>
      </c>
      <c r="Y56" s="217"/>
      <c r="Z56" s="66"/>
      <c r="AA56" s="66"/>
    </row>
    <row r="57" spans="1:27" ht="95.25" customHeight="1" x14ac:dyDescent="0.3">
      <c r="B57" s="254" t="s">
        <v>305</v>
      </c>
      <c r="C57" s="255"/>
      <c r="D57" s="255"/>
      <c r="E57" s="255"/>
      <c r="F57" s="255"/>
      <c r="G57" s="255"/>
      <c r="H57" s="255"/>
      <c r="I57" s="255"/>
      <c r="J57" s="255"/>
      <c r="K57" s="182"/>
      <c r="L57" s="182"/>
      <c r="M57" s="182"/>
      <c r="N57" s="182"/>
      <c r="O57" s="182"/>
      <c r="P57" s="182"/>
      <c r="Q57" s="182"/>
      <c r="R57" s="250" t="s">
        <v>400</v>
      </c>
      <c r="S57" s="250"/>
      <c r="T57" s="250"/>
      <c r="W57" s="15">
        <f>W56*13%</f>
        <v>868.88203999999996</v>
      </c>
      <c r="X57" s="15">
        <f>W56+W57</f>
        <v>7552.5900399999991</v>
      </c>
      <c r="Y57" s="219"/>
    </row>
    <row r="58" spans="1:27" ht="39" customHeight="1" x14ac:dyDescent="0.2">
      <c r="Y58" s="219"/>
    </row>
  </sheetData>
  <mergeCells count="15">
    <mergeCell ref="B54:T54"/>
    <mergeCell ref="R56:T56"/>
    <mergeCell ref="B56:J56"/>
    <mergeCell ref="B57:J57"/>
    <mergeCell ref="R57:T57"/>
    <mergeCell ref="P1:T1"/>
    <mergeCell ref="C4:T4"/>
    <mergeCell ref="B6:B7"/>
    <mergeCell ref="C6:C7"/>
    <mergeCell ref="D6:D7"/>
    <mergeCell ref="E6:I6"/>
    <mergeCell ref="J6:L6"/>
    <mergeCell ref="M6:O6"/>
    <mergeCell ref="P6:R6"/>
    <mergeCell ref="S6:T6"/>
  </mergeCells>
  <pageMargins left="1.1023622047244095" right="0.51181102362204722" top="1.1811023622047245" bottom="0.74803149606299213" header="0.31496062992125984" footer="0.31496062992125984"/>
  <pageSetup paperSize="9" scale="86" fitToHeight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84"/>
  <sheetViews>
    <sheetView tabSelected="1" view="pageBreakPreview" topLeftCell="A263" zoomScaleSheetLayoutView="100" workbookViewId="0">
      <selection activeCell="AA4" sqref="AA4"/>
    </sheetView>
  </sheetViews>
  <sheetFormatPr defaultRowHeight="12" outlineLevelRow="1" outlineLevelCol="1" x14ac:dyDescent="0.2"/>
  <cols>
    <col min="1" max="1" width="5.7109375" style="15" customWidth="1"/>
    <col min="2" max="2" width="36.7109375" style="15" customWidth="1"/>
    <col min="3" max="3" width="20.140625" style="66" hidden="1" customWidth="1" outlineLevel="1"/>
    <col min="4" max="4" width="12.85546875" style="15" customWidth="1" collapsed="1"/>
    <col min="5" max="5" width="11.42578125" style="15" hidden="1" customWidth="1" outlineLevel="1"/>
    <col min="6" max="6" width="10" style="15" customWidth="1" outlineLevel="1"/>
    <col min="7" max="7" width="11.42578125" style="15" hidden="1" customWidth="1" outlineLevel="1"/>
    <col min="8" max="8" width="11.42578125" style="15" customWidth="1" collapsed="1"/>
    <col min="9" max="9" width="14.28515625" style="155" customWidth="1"/>
    <col min="10" max="10" width="11.42578125" style="15" hidden="1" customWidth="1" outlineLevel="1"/>
    <col min="11" max="11" width="10.5703125" style="15" customWidth="1" outlineLevel="1"/>
    <col min="12" max="12" width="11.42578125" style="15" hidden="1" customWidth="1" outlineLevel="1"/>
    <col min="13" max="13" width="11.42578125" style="15" customWidth="1" collapsed="1"/>
    <col min="14" max="14" width="9.5703125" style="15" customWidth="1"/>
    <col min="15" max="15" width="0.140625" style="15" hidden="1" customWidth="1" outlineLevel="1"/>
    <col min="16" max="16" width="10.42578125" style="15" customWidth="1" outlineLevel="1"/>
    <col min="17" max="17" width="11.42578125" style="15" hidden="1" customWidth="1" outlineLevel="1"/>
    <col min="18" max="18" width="14.5703125" style="15" customWidth="1" collapsed="1"/>
    <col min="19" max="19" width="12.28515625" style="15" customWidth="1"/>
    <col min="20" max="20" width="11.42578125" style="15" hidden="1" customWidth="1" outlineLevel="1"/>
    <col min="21" max="21" width="10" style="15" customWidth="1" outlineLevel="1"/>
    <col min="22" max="22" width="0.140625" style="15" hidden="1" customWidth="1" outlineLevel="1"/>
    <col min="23" max="23" width="10.85546875" style="15" customWidth="1" collapsed="1"/>
    <col min="24" max="24" width="11.7109375" style="15" customWidth="1"/>
    <col min="25" max="25" width="9.85546875" style="15" customWidth="1"/>
    <col min="26" max="27" width="11.140625" style="15" customWidth="1"/>
    <col min="28" max="28" width="7.5703125" style="15" hidden="1" customWidth="1" outlineLevel="1"/>
    <col min="29" max="29" width="10.28515625" style="15" hidden="1" customWidth="1" outlineLevel="1"/>
    <col min="30" max="30" width="6.5703125" style="15" hidden="1" customWidth="1" outlineLevel="1"/>
    <col min="31" max="31" width="8.140625" style="15" hidden="1" customWidth="1" outlineLevel="1"/>
    <col min="32" max="32" width="9.140625" style="15" collapsed="1"/>
    <col min="33" max="16384" width="9.140625" style="15"/>
  </cols>
  <sheetData>
    <row r="1" spans="1:33" s="86" customFormat="1" ht="87.75" hidden="1" customHeight="1" x14ac:dyDescent="0.3">
      <c r="B1" s="41" t="s">
        <v>87</v>
      </c>
      <c r="C1" s="119">
        <v>42.67</v>
      </c>
      <c r="D1" s="86">
        <v>44.63</v>
      </c>
      <c r="E1" s="120" t="s">
        <v>82</v>
      </c>
      <c r="F1" s="120"/>
      <c r="G1" s="120"/>
      <c r="H1" s="86">
        <v>13.29</v>
      </c>
      <c r="I1" s="86">
        <f>ROUND((H1*104/100),2)</f>
        <v>13.82</v>
      </c>
      <c r="J1" s="41" t="s">
        <v>91</v>
      </c>
      <c r="K1" s="41"/>
      <c r="L1" s="120"/>
      <c r="M1" s="86">
        <v>51</v>
      </c>
      <c r="N1" s="86">
        <f>ROUND((D1*1.2),2)</f>
        <v>53.56</v>
      </c>
      <c r="Q1" s="120"/>
      <c r="S1" s="260" t="s">
        <v>269</v>
      </c>
      <c r="T1" s="260"/>
      <c r="U1" s="260"/>
      <c r="V1" s="260"/>
      <c r="W1" s="260"/>
      <c r="X1" s="260"/>
      <c r="Y1" s="260"/>
      <c r="Z1" s="260"/>
      <c r="AA1" s="183"/>
    </row>
    <row r="2" spans="1:33" s="86" customFormat="1" ht="69.75" hidden="1" customHeight="1" x14ac:dyDescent="0.2">
      <c r="B2" s="120" t="s">
        <v>86</v>
      </c>
      <c r="C2" s="119">
        <v>43.81</v>
      </c>
      <c r="D2" s="86">
        <v>51.02</v>
      </c>
      <c r="E2" s="41" t="s">
        <v>78</v>
      </c>
      <c r="F2" s="41"/>
      <c r="G2" s="41"/>
      <c r="H2" s="86">
        <v>42.68</v>
      </c>
      <c r="I2" s="86">
        <v>43.26</v>
      </c>
      <c r="J2" s="120" t="s">
        <v>90</v>
      </c>
      <c r="K2" s="120"/>
      <c r="L2" s="41"/>
      <c r="M2" s="86">
        <v>61.22</v>
      </c>
      <c r="N2" s="86">
        <f>ROUND((D2*1.2),2)</f>
        <v>61.22</v>
      </c>
      <c r="Q2" s="41"/>
      <c r="S2" s="268" t="s">
        <v>267</v>
      </c>
      <c r="T2" s="268"/>
      <c r="U2" s="268"/>
      <c r="V2" s="268"/>
      <c r="W2" s="268"/>
      <c r="X2" s="268"/>
      <c r="Y2" s="268"/>
      <c r="Z2" s="268"/>
      <c r="AA2" s="184"/>
    </row>
    <row r="3" spans="1:33" s="121" customFormat="1" ht="60" customHeight="1" outlineLevel="1" x14ac:dyDescent="0.3">
      <c r="B3" s="122" t="s">
        <v>85</v>
      </c>
      <c r="C3" s="123">
        <v>32.9</v>
      </c>
      <c r="D3" s="121">
        <v>37.200000000000003</v>
      </c>
      <c r="E3" s="122" t="s">
        <v>81</v>
      </c>
      <c r="F3" s="122"/>
      <c r="G3" s="122"/>
      <c r="H3" s="121">
        <v>11.75</v>
      </c>
      <c r="I3" s="121">
        <v>2025</v>
      </c>
      <c r="J3" s="122" t="s">
        <v>89</v>
      </c>
      <c r="K3" s="122"/>
      <c r="L3" s="122"/>
      <c r="M3" s="121">
        <v>49.55</v>
      </c>
      <c r="N3" s="121">
        <f>ROUND((D5*1.2),2)</f>
        <v>49.55</v>
      </c>
      <c r="Q3" s="122"/>
      <c r="S3" s="269" t="s">
        <v>75</v>
      </c>
      <c r="T3" s="270"/>
      <c r="U3" s="270"/>
      <c r="V3" s="270"/>
      <c r="W3" s="270"/>
      <c r="X3" s="270"/>
      <c r="Y3" s="270"/>
      <c r="Z3" s="270"/>
      <c r="AA3" s="185"/>
    </row>
    <row r="4" spans="1:33" s="124" customFormat="1" ht="60" customHeight="1" outlineLevel="1" x14ac:dyDescent="0.3">
      <c r="B4" s="122" t="s">
        <v>84</v>
      </c>
      <c r="C4" s="123">
        <v>44.28</v>
      </c>
      <c r="D4" s="121">
        <v>44.74</v>
      </c>
      <c r="E4" s="122"/>
      <c r="F4" s="122"/>
      <c r="G4" s="122"/>
      <c r="H4" s="121"/>
      <c r="I4" s="121"/>
      <c r="J4" s="122" t="s">
        <v>101</v>
      </c>
      <c r="K4" s="122"/>
      <c r="L4" s="122"/>
      <c r="M4" s="121">
        <f>ROUND((C6*1.2),2)</f>
        <v>42.38</v>
      </c>
      <c r="N4" s="121">
        <f>ROUND((D6*1.2),2)</f>
        <v>42.38</v>
      </c>
      <c r="O4" s="121"/>
      <c r="P4" s="121"/>
      <c r="Q4" s="122"/>
      <c r="S4" s="271" t="s">
        <v>48</v>
      </c>
      <c r="T4" s="271"/>
      <c r="U4" s="271"/>
      <c r="V4" s="271"/>
      <c r="W4" s="271"/>
      <c r="X4" s="271"/>
      <c r="Y4" s="271"/>
      <c r="Z4" s="271"/>
      <c r="AA4" s="185"/>
    </row>
    <row r="5" spans="1:33" s="182" customFormat="1" ht="60" hidden="1" customHeight="1" outlineLevel="1" x14ac:dyDescent="0.3">
      <c r="B5" s="120" t="s">
        <v>83</v>
      </c>
      <c r="C5" s="119">
        <v>40.72</v>
      </c>
      <c r="D5" s="86">
        <v>41.29</v>
      </c>
      <c r="E5" s="41" t="s">
        <v>79</v>
      </c>
      <c r="F5" s="41"/>
      <c r="G5" s="41"/>
      <c r="H5" s="86">
        <v>68.56</v>
      </c>
      <c r="I5" s="86">
        <v>78.45</v>
      </c>
      <c r="J5" s="120" t="s">
        <v>88</v>
      </c>
      <c r="K5" s="120"/>
      <c r="L5" s="41"/>
      <c r="M5" s="86">
        <v>580</v>
      </c>
      <c r="N5" s="86">
        <v>580</v>
      </c>
      <c r="O5" s="125"/>
      <c r="P5" s="125"/>
      <c r="Q5" s="41"/>
      <c r="R5" s="124"/>
      <c r="S5" s="273" t="s">
        <v>0</v>
      </c>
      <c r="T5" s="274"/>
      <c r="U5" s="274"/>
      <c r="V5" s="274"/>
      <c r="W5" s="274"/>
      <c r="X5" s="274"/>
      <c r="Y5" s="274"/>
      <c r="Z5" s="274"/>
      <c r="AA5" s="187"/>
    </row>
    <row r="6" spans="1:33" s="182" customFormat="1" ht="60" hidden="1" customHeight="1" outlineLevel="1" x14ac:dyDescent="0.3">
      <c r="B6" s="120" t="s">
        <v>102</v>
      </c>
      <c r="C6" s="119">
        <v>35.32</v>
      </c>
      <c r="D6" s="86">
        <v>35.32</v>
      </c>
      <c r="E6" s="120" t="s">
        <v>80</v>
      </c>
      <c r="F6" s="120"/>
      <c r="G6" s="120"/>
      <c r="H6" s="86">
        <v>17.98</v>
      </c>
      <c r="I6" s="86">
        <f>ROUND((H6*104/100),2)</f>
        <v>18.7</v>
      </c>
      <c r="J6" s="126"/>
      <c r="K6" s="126"/>
      <c r="L6" s="120"/>
      <c r="M6" s="126"/>
      <c r="N6" s="125"/>
      <c r="O6" s="125"/>
      <c r="P6" s="125"/>
      <c r="Q6" s="120"/>
      <c r="R6" s="124"/>
      <c r="S6" s="275" t="s">
        <v>1</v>
      </c>
      <c r="T6" s="274"/>
      <c r="U6" s="274"/>
      <c r="V6" s="274"/>
      <c r="W6" s="274"/>
      <c r="X6" s="274"/>
      <c r="Y6" s="274"/>
      <c r="Z6" s="274"/>
      <c r="AA6" s="187"/>
    </row>
    <row r="7" spans="1:33" s="182" customFormat="1" ht="60" hidden="1" customHeight="1" outlineLevel="1" x14ac:dyDescent="0.3">
      <c r="B7" s="120"/>
      <c r="C7" s="119"/>
      <c r="D7" s="86"/>
      <c r="E7" s="120" t="s">
        <v>253</v>
      </c>
      <c r="F7" s="120"/>
      <c r="G7" s="120"/>
      <c r="H7" s="86">
        <v>280</v>
      </c>
      <c r="I7" s="86">
        <v>280</v>
      </c>
      <c r="J7" s="127" t="s">
        <v>95</v>
      </c>
      <c r="K7" s="127"/>
      <c r="L7" s="120"/>
      <c r="M7" s="125">
        <v>393.56</v>
      </c>
      <c r="N7" s="125">
        <f>ROUND((M7*115/100),2)</f>
        <v>452.59</v>
      </c>
      <c r="O7" s="125"/>
      <c r="P7" s="125"/>
      <c r="Q7" s="120"/>
      <c r="R7" s="124"/>
      <c r="S7" s="273" t="s">
        <v>2</v>
      </c>
      <c r="T7" s="274"/>
      <c r="U7" s="274"/>
      <c r="V7" s="274"/>
      <c r="W7" s="274"/>
      <c r="X7" s="274"/>
      <c r="Y7" s="274"/>
      <c r="Z7" s="274"/>
      <c r="AA7" s="187"/>
    </row>
    <row r="8" spans="1:33" s="182" customFormat="1" ht="60" hidden="1" customHeight="1" outlineLevel="1" x14ac:dyDescent="0.3">
      <c r="B8" s="120" t="s">
        <v>93</v>
      </c>
      <c r="C8" s="119">
        <v>410.28</v>
      </c>
      <c r="D8" s="86">
        <v>410.28</v>
      </c>
      <c r="E8" s="120" t="s">
        <v>94</v>
      </c>
      <c r="F8" s="120"/>
      <c r="G8" s="120"/>
      <c r="H8" s="86">
        <v>620</v>
      </c>
      <c r="I8" s="86">
        <v>620</v>
      </c>
      <c r="J8" s="125" t="s">
        <v>256</v>
      </c>
      <c r="K8" s="125"/>
      <c r="L8" s="120"/>
      <c r="M8" s="125">
        <v>870</v>
      </c>
      <c r="N8" s="125">
        <v>870</v>
      </c>
      <c r="O8" s="125"/>
      <c r="P8" s="125"/>
      <c r="Q8" s="120"/>
      <c r="R8" s="124"/>
      <c r="S8" s="276" t="s">
        <v>262</v>
      </c>
      <c r="T8" s="274"/>
      <c r="U8" s="274"/>
      <c r="V8" s="274"/>
      <c r="W8" s="274"/>
      <c r="X8" s="274"/>
      <c r="Y8" s="274"/>
      <c r="Z8" s="274"/>
      <c r="AA8" s="187"/>
    </row>
    <row r="9" spans="1:33" s="182" customFormat="1" ht="60" hidden="1" customHeight="1" outlineLevel="1" x14ac:dyDescent="0.3">
      <c r="B9" s="120" t="s">
        <v>72</v>
      </c>
      <c r="C9" s="119" t="s">
        <v>298</v>
      </c>
      <c r="D9" s="128" t="s">
        <v>299</v>
      </c>
      <c r="E9" s="129" t="s">
        <v>71</v>
      </c>
      <c r="F9" s="129"/>
      <c r="G9" s="129"/>
      <c r="H9" s="119" t="s">
        <v>298</v>
      </c>
      <c r="I9" s="128" t="s">
        <v>299</v>
      </c>
      <c r="J9" s="121" t="s">
        <v>42</v>
      </c>
      <c r="K9" s="121"/>
      <c r="L9" s="129"/>
      <c r="M9" s="123" t="s">
        <v>264</v>
      </c>
      <c r="N9" s="220" t="s">
        <v>265</v>
      </c>
      <c r="Q9" s="129"/>
      <c r="R9" s="124"/>
      <c r="S9" s="268" t="s">
        <v>255</v>
      </c>
      <c r="T9" s="272"/>
      <c r="U9" s="272"/>
      <c r="V9" s="272"/>
      <c r="W9" s="272"/>
      <c r="X9" s="272"/>
      <c r="Y9" s="272"/>
      <c r="Z9" s="272"/>
      <c r="AA9" s="186"/>
    </row>
    <row r="10" spans="1:33" s="182" customFormat="1" ht="15" customHeight="1" collapsed="1" x14ac:dyDescent="0.3">
      <c r="C10" s="188"/>
      <c r="M10" s="182" t="s">
        <v>49</v>
      </c>
      <c r="R10" s="5"/>
      <c r="S10" s="5"/>
      <c r="T10" s="6"/>
      <c r="U10" s="6"/>
      <c r="W10" s="6"/>
      <c r="X10" s="6"/>
      <c r="Y10" s="6"/>
      <c r="Z10" s="9"/>
      <c r="AA10" s="130"/>
    </row>
    <row r="11" spans="1:33" s="86" customFormat="1" ht="39.75" customHeight="1" x14ac:dyDescent="0.2">
      <c r="B11" s="248" t="s">
        <v>297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131"/>
      <c r="AB11" s="132"/>
      <c r="AC11" s="132"/>
      <c r="AD11" s="132"/>
      <c r="AE11" s="132"/>
      <c r="AF11" s="132"/>
      <c r="AG11" s="132"/>
    </row>
    <row r="12" spans="1:33" ht="3.75" customHeight="1" x14ac:dyDescent="0.2"/>
    <row r="13" spans="1:33" s="189" customFormat="1" ht="12.4" customHeight="1" x14ac:dyDescent="0.2">
      <c r="A13" s="261" t="s">
        <v>108</v>
      </c>
      <c r="B13" s="261" t="s">
        <v>21</v>
      </c>
      <c r="C13" s="261" t="s">
        <v>22</v>
      </c>
      <c r="D13" s="261" t="s">
        <v>23</v>
      </c>
      <c r="E13" s="261"/>
      <c r="F13" s="261"/>
      <c r="G13" s="261"/>
      <c r="H13" s="261"/>
      <c r="I13" s="261" t="s">
        <v>24</v>
      </c>
      <c r="J13" s="261"/>
      <c r="K13" s="261"/>
      <c r="L13" s="261"/>
      <c r="M13" s="261"/>
      <c r="N13" s="261" t="s">
        <v>25</v>
      </c>
      <c r="O13" s="261"/>
      <c r="P13" s="261"/>
      <c r="Q13" s="261"/>
      <c r="R13" s="261"/>
      <c r="S13" s="261" t="s">
        <v>26</v>
      </c>
      <c r="T13" s="261"/>
      <c r="U13" s="261"/>
      <c r="V13" s="261"/>
      <c r="W13" s="261"/>
      <c r="X13" s="261" t="s">
        <v>296</v>
      </c>
      <c r="Y13" s="261"/>
      <c r="Z13" s="261"/>
      <c r="AA13" s="133"/>
      <c r="AB13" s="263" t="s">
        <v>263</v>
      </c>
    </row>
    <row r="14" spans="1:33" s="189" customFormat="1" ht="31.5" customHeight="1" x14ac:dyDescent="0.2">
      <c r="A14" s="261"/>
      <c r="B14" s="261"/>
      <c r="C14" s="261"/>
      <c r="D14" s="190" t="s">
        <v>37</v>
      </c>
      <c r="E14" s="190" t="s">
        <v>28</v>
      </c>
      <c r="F14" s="190" t="s">
        <v>27</v>
      </c>
      <c r="G14" s="190" t="s">
        <v>28</v>
      </c>
      <c r="H14" s="190" t="s">
        <v>18</v>
      </c>
      <c r="I14" s="134" t="s">
        <v>37</v>
      </c>
      <c r="J14" s="190" t="s">
        <v>28</v>
      </c>
      <c r="K14" s="190" t="s">
        <v>27</v>
      </c>
      <c r="L14" s="190" t="s">
        <v>28</v>
      </c>
      <c r="M14" s="190" t="s">
        <v>18</v>
      </c>
      <c r="N14" s="190" t="s">
        <v>37</v>
      </c>
      <c r="O14" s="190" t="s">
        <v>28</v>
      </c>
      <c r="P14" s="190" t="s">
        <v>27</v>
      </c>
      <c r="Q14" s="190" t="s">
        <v>28</v>
      </c>
      <c r="R14" s="190" t="s">
        <v>18</v>
      </c>
      <c r="S14" s="190" t="s">
        <v>37</v>
      </c>
      <c r="T14" s="190" t="s">
        <v>28</v>
      </c>
      <c r="U14" s="190" t="s">
        <v>27</v>
      </c>
      <c r="V14" s="190" t="s">
        <v>28</v>
      </c>
      <c r="W14" s="190" t="s">
        <v>18</v>
      </c>
      <c r="X14" s="190" t="s">
        <v>37</v>
      </c>
      <c r="Y14" s="190" t="s">
        <v>398</v>
      </c>
      <c r="Z14" s="190" t="s">
        <v>18</v>
      </c>
      <c r="AA14" s="133"/>
      <c r="AB14" s="263"/>
      <c r="AC14" s="189" t="s">
        <v>272</v>
      </c>
    </row>
    <row r="15" spans="1:33" s="189" customFormat="1" ht="12.75" x14ac:dyDescent="0.2">
      <c r="A15" s="135" t="s">
        <v>229</v>
      </c>
      <c r="B15" s="68">
        <v>2</v>
      </c>
      <c r="C15" s="136"/>
      <c r="D15" s="190">
        <v>3</v>
      </c>
      <c r="E15" s="190"/>
      <c r="F15" s="190"/>
      <c r="G15" s="190"/>
      <c r="H15" s="190">
        <v>4</v>
      </c>
      <c r="I15" s="134">
        <v>5</v>
      </c>
      <c r="J15" s="190"/>
      <c r="K15" s="190"/>
      <c r="L15" s="190"/>
      <c r="M15" s="190">
        <v>6</v>
      </c>
      <c r="N15" s="190">
        <v>7</v>
      </c>
      <c r="O15" s="190"/>
      <c r="P15" s="190"/>
      <c r="Q15" s="190"/>
      <c r="R15" s="190">
        <v>8</v>
      </c>
      <c r="S15" s="190">
        <v>9</v>
      </c>
      <c r="T15" s="190"/>
      <c r="U15" s="190"/>
      <c r="V15" s="190"/>
      <c r="W15" s="190">
        <v>10</v>
      </c>
      <c r="X15" s="190">
        <v>11</v>
      </c>
      <c r="Y15" s="190"/>
      <c r="Z15" s="190">
        <v>12</v>
      </c>
      <c r="AA15" s="133"/>
    </row>
    <row r="16" spans="1:33" ht="22.5" customHeight="1" x14ac:dyDescent="0.2">
      <c r="A16" s="24">
        <v>1</v>
      </c>
      <c r="B16" s="27" t="s">
        <v>389</v>
      </c>
      <c r="C16" s="137"/>
      <c r="D16" s="26"/>
      <c r="E16" s="26"/>
      <c r="F16" s="26"/>
      <c r="G16" s="26"/>
      <c r="H16" s="26"/>
      <c r="I16" s="9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96"/>
    </row>
    <row r="17" spans="1:29" ht="12" customHeight="1" x14ac:dyDescent="0.2">
      <c r="A17" s="24"/>
      <c r="B17" s="93" t="s">
        <v>64</v>
      </c>
      <c r="C17" s="190" t="s">
        <v>38</v>
      </c>
      <c r="D17" s="26">
        <v>194</v>
      </c>
      <c r="E17" s="26">
        <f>C1</f>
        <v>42.67</v>
      </c>
      <c r="F17" s="26"/>
      <c r="G17" s="26"/>
      <c r="H17" s="26">
        <f>ROUND((D17*E17/1000),3)</f>
        <v>8.2780000000000005</v>
      </c>
      <c r="I17" s="95">
        <v>277</v>
      </c>
      <c r="J17" s="26">
        <f>C1</f>
        <v>42.67</v>
      </c>
      <c r="K17" s="26"/>
      <c r="L17" s="26"/>
      <c r="M17" s="26">
        <f>ROUND((I17*J17/1000),3)</f>
        <v>11.82</v>
      </c>
      <c r="N17" s="26">
        <v>251</v>
      </c>
      <c r="O17" s="26">
        <f>D1</f>
        <v>44.63</v>
      </c>
      <c r="P17" s="26"/>
      <c r="Q17" s="26"/>
      <c r="R17" s="26">
        <f>ROUND((N17*O17/1000),3)</f>
        <v>11.202</v>
      </c>
      <c r="S17" s="26">
        <v>218</v>
      </c>
      <c r="T17" s="26">
        <f>D1</f>
        <v>44.63</v>
      </c>
      <c r="U17" s="26"/>
      <c r="V17" s="26"/>
      <c r="W17" s="26">
        <f>ROUND((S17*T17/1000),3)</f>
        <v>9.7289999999999992</v>
      </c>
      <c r="X17" s="26">
        <f>D17+I17+N17+S17</f>
        <v>940</v>
      </c>
      <c r="Y17" s="26"/>
      <c r="Z17" s="26">
        <f>H17+M17+R17+W17</f>
        <v>41.028999999999996</v>
      </c>
      <c r="AA17" s="96"/>
      <c r="AB17" s="15">
        <v>1111</v>
      </c>
      <c r="AC17" s="15">
        <v>951</v>
      </c>
    </row>
    <row r="18" spans="1:29" ht="12" customHeight="1" x14ac:dyDescent="0.2">
      <c r="A18" s="24"/>
      <c r="B18" s="93" t="s">
        <v>43</v>
      </c>
      <c r="C18" s="190" t="s">
        <v>39</v>
      </c>
      <c r="D18" s="26">
        <f>D17</f>
        <v>194</v>
      </c>
      <c r="E18" s="26">
        <f>H5</f>
        <v>68.56</v>
      </c>
      <c r="F18" s="26"/>
      <c r="G18" s="26"/>
      <c r="H18" s="26">
        <f>ROUND((D18*E18/1000),3)</f>
        <v>13.301</v>
      </c>
      <c r="I18" s="95">
        <f>I17</f>
        <v>277</v>
      </c>
      <c r="J18" s="26">
        <f>H5</f>
        <v>68.56</v>
      </c>
      <c r="K18" s="26"/>
      <c r="L18" s="26"/>
      <c r="M18" s="26">
        <f>ROUND((I18*J18/1000),3)</f>
        <v>18.991</v>
      </c>
      <c r="N18" s="26">
        <f>N17</f>
        <v>251</v>
      </c>
      <c r="O18" s="26">
        <f>I5</f>
        <v>78.45</v>
      </c>
      <c r="P18" s="26"/>
      <c r="Q18" s="26"/>
      <c r="R18" s="26">
        <f>ROUND((N18*O18/1000),3)</f>
        <v>19.690999999999999</v>
      </c>
      <c r="S18" s="26">
        <f>S17</f>
        <v>218</v>
      </c>
      <c r="T18" s="26">
        <f>I5</f>
        <v>78.45</v>
      </c>
      <c r="U18" s="26"/>
      <c r="V18" s="26"/>
      <c r="W18" s="26">
        <f>ROUND((S18*T18/1000),3)</f>
        <v>17.102</v>
      </c>
      <c r="X18" s="26">
        <f>D18+I18+N18+S18</f>
        <v>940</v>
      </c>
      <c r="Y18" s="26"/>
      <c r="Z18" s="26">
        <f>H18+M18+R18+W18</f>
        <v>69.085000000000008</v>
      </c>
      <c r="AA18" s="96"/>
      <c r="AB18" s="15">
        <v>1111</v>
      </c>
      <c r="AC18" s="15">
        <v>951</v>
      </c>
    </row>
    <row r="19" spans="1:29" s="13" customFormat="1" ht="18.75" customHeight="1" x14ac:dyDescent="0.2">
      <c r="A19" s="24">
        <v>2</v>
      </c>
      <c r="B19" s="27" t="s">
        <v>390</v>
      </c>
      <c r="C19" s="190"/>
      <c r="D19" s="26"/>
      <c r="E19" s="26"/>
      <c r="F19" s="26"/>
      <c r="G19" s="26"/>
      <c r="H19" s="26"/>
      <c r="I19" s="9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96"/>
    </row>
    <row r="20" spans="1:29" s="13" customFormat="1" ht="12.6" customHeight="1" x14ac:dyDescent="0.2">
      <c r="A20" s="24"/>
      <c r="B20" s="93" t="s">
        <v>64</v>
      </c>
      <c r="C20" s="190" t="s">
        <v>38</v>
      </c>
      <c r="D20" s="26">
        <v>15</v>
      </c>
      <c r="E20" s="26">
        <f>C1</f>
        <v>42.67</v>
      </c>
      <c r="F20" s="26"/>
      <c r="G20" s="26"/>
      <c r="H20" s="26">
        <f>ROUND((D20*E20/1000),3)</f>
        <v>0.64</v>
      </c>
      <c r="I20" s="95">
        <v>19</v>
      </c>
      <c r="J20" s="26">
        <f>C1</f>
        <v>42.67</v>
      </c>
      <c r="K20" s="26"/>
      <c r="L20" s="26"/>
      <c r="M20" s="26">
        <f>ROUND((I20*J20/1000),3)</f>
        <v>0.81100000000000005</v>
      </c>
      <c r="N20" s="26">
        <v>15</v>
      </c>
      <c r="O20" s="26">
        <f>D1</f>
        <v>44.63</v>
      </c>
      <c r="P20" s="26"/>
      <c r="Q20" s="26"/>
      <c r="R20" s="26">
        <f>ROUND((N20*O20/1000),3)</f>
        <v>0.66900000000000004</v>
      </c>
      <c r="S20" s="26">
        <v>10</v>
      </c>
      <c r="T20" s="26">
        <f>D1</f>
        <v>44.63</v>
      </c>
      <c r="U20" s="26"/>
      <c r="V20" s="26"/>
      <c r="W20" s="26">
        <f>ROUND((S20*T20/1000),3)</f>
        <v>0.44600000000000001</v>
      </c>
      <c r="X20" s="26">
        <f>D20+I20+N20+S20</f>
        <v>59</v>
      </c>
      <c r="Y20" s="26"/>
      <c r="Z20" s="26">
        <f>H20+M20+R20+W20</f>
        <v>2.5660000000000003</v>
      </c>
      <c r="AA20" s="96"/>
      <c r="AB20" s="13">
        <v>70</v>
      </c>
      <c r="AC20" s="13">
        <v>65</v>
      </c>
    </row>
    <row r="21" spans="1:29" s="13" customFormat="1" ht="35.25" customHeight="1" x14ac:dyDescent="0.2">
      <c r="A21" s="24">
        <v>3</v>
      </c>
      <c r="B21" s="27" t="s">
        <v>51</v>
      </c>
      <c r="C21" s="190"/>
      <c r="D21" s="26" t="s">
        <v>42</v>
      </c>
      <c r="E21" s="26"/>
      <c r="F21" s="26"/>
      <c r="G21" s="26"/>
      <c r="H21" s="26"/>
      <c r="I21" s="95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96"/>
    </row>
    <row r="22" spans="1:29" s="13" customFormat="1" ht="12" customHeight="1" x14ac:dyDescent="0.2">
      <c r="A22" s="24"/>
      <c r="B22" s="93" t="s">
        <v>64</v>
      </c>
      <c r="C22" s="190"/>
      <c r="D22" s="26">
        <f>D27+D30+D34+D37+D40+D43+D46+D49+D53+D56+D60+D63+D67+D70+D73+D76+D79+D83+D85+D89+D93+D96+D99+D102+D104+D107+D110+D113+D117+D120+D123+D125+D127+D130+D132+D135+D138+D142+D147+D150+D153+D156+D159+D162+D165+D167+D169+D172+D176+D179+D182+D184+D187+D189+D192+D194+D197+D199+D201+D205+D208+D211+D214+D216+D219+D222+D225+D228+D231</f>
        <v>12775</v>
      </c>
      <c r="E22" s="26">
        <f t="shared" ref="E22:W22" si="0">E27+E30+E34+E37+E40+E43+E46+E49+E53+E56+E60+E63+E67+E70+E73+E76+E79+E83+E85+E89+E93+E96+E99+E102+E104+E107+E110+E113+E117+E120+E123+E125+E127+E130+E132+E135+E138+E142+E147+E150+E153+E156+E159+E162+E165+E167+E169+E172+E176+E179+E182+E184+E187+E189+E192+E194+E197+E199+E201+E205+E208+E211+E214+E216+E219+E222+E225+E228+E231</f>
        <v>2762.7100000000019</v>
      </c>
      <c r="F22" s="26"/>
      <c r="G22" s="26"/>
      <c r="H22" s="26">
        <f t="shared" si="0"/>
        <v>526.33199999999999</v>
      </c>
      <c r="I22" s="26">
        <f t="shared" si="0"/>
        <v>14054</v>
      </c>
      <c r="J22" s="26">
        <f t="shared" si="0"/>
        <v>2762.7100000000019</v>
      </c>
      <c r="K22" s="26"/>
      <c r="L22" s="26"/>
      <c r="M22" s="26">
        <f t="shared" si="0"/>
        <v>577.1410000000003</v>
      </c>
      <c r="N22" s="26">
        <f t="shared" si="0"/>
        <v>14054.5</v>
      </c>
      <c r="O22" s="26">
        <f t="shared" si="0"/>
        <v>2987.28</v>
      </c>
      <c r="P22" s="26"/>
      <c r="Q22" s="26"/>
      <c r="R22" s="26">
        <f t="shared" si="0"/>
        <v>618.654</v>
      </c>
      <c r="S22" s="26">
        <f t="shared" si="0"/>
        <v>15590.55</v>
      </c>
      <c r="T22" s="26">
        <f t="shared" si="0"/>
        <v>2989.1300000000006</v>
      </c>
      <c r="U22" s="26"/>
      <c r="V22" s="26"/>
      <c r="W22" s="26">
        <f t="shared" si="0"/>
        <v>689.59900000000027</v>
      </c>
      <c r="X22" s="26">
        <f>D22+I22+N22+S22</f>
        <v>56474.05</v>
      </c>
      <c r="Y22" s="26"/>
      <c r="Z22" s="26">
        <f>H22+M22+R22+W22</f>
        <v>2411.7260000000006</v>
      </c>
      <c r="AA22" s="96"/>
      <c r="AB22" s="138">
        <v>52984.5</v>
      </c>
      <c r="AC22" s="13">
        <v>48961.119999999995</v>
      </c>
    </row>
    <row r="23" spans="1:29" s="13" customFormat="1" ht="12" customHeight="1" x14ac:dyDescent="0.2">
      <c r="A23" s="24"/>
      <c r="B23" s="93" t="s">
        <v>32</v>
      </c>
      <c r="C23" s="190"/>
      <c r="D23" s="26">
        <f>D31+D50+D57+D64+D80+D86+D90+D128+D143+D173</f>
        <v>2333.1000000000004</v>
      </c>
      <c r="E23" s="26">
        <f t="shared" ref="E23:W23" si="1">E31+E50+E57+E64+E80+E86+E90+E128+E143+E173</f>
        <v>499.6699999999999</v>
      </c>
      <c r="F23" s="26">
        <f>F31+F50+F57+F64+F80+F86+F90+F128+F143+F173</f>
        <v>156.40600000000001</v>
      </c>
      <c r="G23" s="26"/>
      <c r="H23" s="26">
        <f>H31+H50+H57+H64+H80+H86+H90+H128+H143+H173</f>
        <v>844.88586225999984</v>
      </c>
      <c r="I23" s="26">
        <f t="shared" si="1"/>
        <v>1714.6000000000001</v>
      </c>
      <c r="J23" s="26">
        <f t="shared" si="1"/>
        <v>499.6699999999999</v>
      </c>
      <c r="K23" s="26">
        <f>K31+K50+K57+K64+K80+K86+K90+K128+K143+K173</f>
        <v>156.40600000000001</v>
      </c>
      <c r="L23" s="26"/>
      <c r="M23" s="26">
        <f t="shared" si="1"/>
        <v>814.19857325999988</v>
      </c>
      <c r="N23" s="26">
        <f t="shared" si="1"/>
        <v>1591.0000000000002</v>
      </c>
      <c r="O23" s="26">
        <f t="shared" si="1"/>
        <v>543.1099999999999</v>
      </c>
      <c r="P23" s="26">
        <f>P31+P50+P57+P64+P80+P86+P90+P128+P143+P173</f>
        <v>156.40600000000001</v>
      </c>
      <c r="Q23" s="26"/>
      <c r="R23" s="26">
        <f t="shared" si="1"/>
        <v>885.44589203999999</v>
      </c>
      <c r="S23" s="26">
        <f t="shared" si="1"/>
        <v>3731.2999999999993</v>
      </c>
      <c r="T23" s="26">
        <f t="shared" si="1"/>
        <v>543.1099999999999</v>
      </c>
      <c r="U23" s="26">
        <f>U31+U50+U57+U64+U80+U86+U90+U128+U143+U173</f>
        <v>156.40600000000001</v>
      </c>
      <c r="V23" s="26"/>
      <c r="W23" s="26">
        <f t="shared" si="1"/>
        <v>1000.52586004</v>
      </c>
      <c r="X23" s="26">
        <f>D23+I23+N23+S23</f>
        <v>9370</v>
      </c>
      <c r="Y23" s="26">
        <f>U23+P23+K23+F23</f>
        <v>625.62400000000002</v>
      </c>
      <c r="Z23" s="26">
        <f>H23+M23+R23+W23</f>
        <v>3545.0561876000002</v>
      </c>
      <c r="AA23" s="96"/>
      <c r="AB23" s="139">
        <v>6562.84</v>
      </c>
      <c r="AC23" s="13">
        <v>7282.7</v>
      </c>
    </row>
    <row r="24" spans="1:29" s="13" customFormat="1" ht="14.25" customHeight="1" x14ac:dyDescent="0.2">
      <c r="A24" s="24"/>
      <c r="B24" s="93" t="s">
        <v>43</v>
      </c>
      <c r="C24" s="190"/>
      <c r="D24" s="26">
        <f>D32+D35+D58+D61+D65+D68+D71+D87+D91+D111+D114+D139+D157+D163+D174+D180+D202+D223+D232+D144</f>
        <v>8013.2</v>
      </c>
      <c r="E24" s="26">
        <f t="shared" ref="E24:H24" si="2">E32+E35+E58+E61+E65+E68+E71+E87+E91+E111+E114+E139+E157+E163+E174+E180+E202+E223+E232+E144</f>
        <v>1149.7199999999998</v>
      </c>
      <c r="F24" s="26"/>
      <c r="G24" s="26"/>
      <c r="H24" s="26">
        <f t="shared" si="2"/>
        <v>528.6</v>
      </c>
      <c r="I24" s="26">
        <f t="shared" ref="I24:W24" si="3">I32+I35+I58+I61+I65+I68+I71+I87+I91+I111+I114+I139+I143+I157+I163+I174+I180+I202+I223+I232</f>
        <v>6903.6</v>
      </c>
      <c r="J24" s="26">
        <f t="shared" si="3"/>
        <v>1130.74</v>
      </c>
      <c r="K24" s="26"/>
      <c r="L24" s="26"/>
      <c r="M24" s="26">
        <f t="shared" si="3"/>
        <v>484.26621249999988</v>
      </c>
      <c r="N24" s="26">
        <f t="shared" si="3"/>
        <v>7085.1999999999989</v>
      </c>
      <c r="O24" s="26">
        <f t="shared" si="3"/>
        <v>1275.9900000000002</v>
      </c>
      <c r="P24" s="26"/>
      <c r="Q24" s="26"/>
      <c r="R24" s="26">
        <f t="shared" si="3"/>
        <v>558.36890400000016</v>
      </c>
      <c r="S24" s="26">
        <f t="shared" si="3"/>
        <v>9355.9699999999993</v>
      </c>
      <c r="T24" s="26">
        <f t="shared" si="3"/>
        <v>1275.9900000000002</v>
      </c>
      <c r="U24" s="26"/>
      <c r="V24" s="26"/>
      <c r="W24" s="26">
        <f t="shared" si="3"/>
        <v>738.176109</v>
      </c>
      <c r="X24" s="26">
        <f>D24+I24+N24+S24</f>
        <v>31357.97</v>
      </c>
      <c r="Y24" s="26"/>
      <c r="Z24" s="26">
        <f>H24+M24+R24+W24</f>
        <v>2309.4112255</v>
      </c>
      <c r="AA24" s="96"/>
      <c r="AB24" s="139">
        <v>25422.9</v>
      </c>
      <c r="AC24" s="13">
        <v>25058.940000000002</v>
      </c>
    </row>
    <row r="25" spans="1:29" s="13" customFormat="1" ht="12" customHeight="1" x14ac:dyDescent="0.2">
      <c r="A25" s="24"/>
      <c r="B25" s="140" t="s">
        <v>92</v>
      </c>
      <c r="C25" s="190"/>
      <c r="D25" s="25">
        <f>D28+D38+D41+D44+D47+D51+D54+D74+D77+D81+D94+D97+D100+D105+D108+D115+D133+D136+D140+D145+D148+D151+D154+D160+D170+D177+D185+D190+D195+D203+D206+D209+D212+D217+D220+D226+D229</f>
        <v>3505.25</v>
      </c>
      <c r="E25" s="25">
        <f t="shared" ref="E25:W25" si="4">E28+E38+E41+E44+E47+E51+E54+E74+E77+E81+E94+E97+E100+E105+E108+E115+E133+E136+E140+E145+E148+E151+E154+E160+E170+E177+E185+E190+E195+E203+E206+E209+E212+E217+E220+E226+E229</f>
        <v>16667.04</v>
      </c>
      <c r="F25" s="25"/>
      <c r="G25" s="25"/>
      <c r="H25" s="25">
        <f t="shared" si="4"/>
        <v>1745.9159999999999</v>
      </c>
      <c r="I25" s="25">
        <f t="shared" si="4"/>
        <v>3665.9500000000003</v>
      </c>
      <c r="J25" s="25">
        <f t="shared" si="4"/>
        <v>16667.04</v>
      </c>
      <c r="K25" s="25"/>
      <c r="L25" s="25"/>
      <c r="M25" s="25">
        <f t="shared" si="4"/>
        <v>1775.3849999999998</v>
      </c>
      <c r="N25" s="25">
        <f t="shared" si="4"/>
        <v>3720.8299999999995</v>
      </c>
      <c r="O25" s="25">
        <f t="shared" si="4"/>
        <v>16903.160000000003</v>
      </c>
      <c r="P25" s="25"/>
      <c r="Q25" s="25"/>
      <c r="R25" s="25">
        <f t="shared" si="4"/>
        <v>1846.673</v>
      </c>
      <c r="S25" s="25">
        <f t="shared" si="4"/>
        <v>4583.3919999999998</v>
      </c>
      <c r="T25" s="25">
        <f t="shared" si="4"/>
        <v>16826.160000000003</v>
      </c>
      <c r="U25" s="25"/>
      <c r="V25" s="25"/>
      <c r="W25" s="25">
        <f t="shared" si="4"/>
        <v>2228.1669999999999</v>
      </c>
      <c r="X25" s="26">
        <f>D25+I25+N25+S25</f>
        <v>15475.422</v>
      </c>
      <c r="Y25" s="26"/>
      <c r="Z25" s="26">
        <f>H25+M25+R25+W25</f>
        <v>7596.1409999999996</v>
      </c>
      <c r="AA25" s="96"/>
      <c r="AB25" s="141">
        <v>15899.84</v>
      </c>
      <c r="AC25" s="13">
        <v>15419.7</v>
      </c>
    </row>
    <row r="26" spans="1:29" ht="12" customHeight="1" x14ac:dyDescent="0.2">
      <c r="A26" s="24" t="s">
        <v>147</v>
      </c>
      <c r="B26" s="94" t="s">
        <v>339</v>
      </c>
      <c r="C26" s="190"/>
      <c r="D26" s="25"/>
      <c r="E26" s="26"/>
      <c r="F26" s="26"/>
      <c r="G26" s="26"/>
      <c r="H26" s="26"/>
      <c r="I26" s="95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96"/>
    </row>
    <row r="27" spans="1:29" ht="12" customHeight="1" x14ac:dyDescent="0.2">
      <c r="A27" s="24"/>
      <c r="B27" s="93" t="s">
        <v>64</v>
      </c>
      <c r="C27" s="190" t="s">
        <v>38</v>
      </c>
      <c r="D27" s="25">
        <v>190</v>
      </c>
      <c r="E27" s="26">
        <f>C1</f>
        <v>42.67</v>
      </c>
      <c r="F27" s="26"/>
      <c r="G27" s="26"/>
      <c r="H27" s="26">
        <f>ROUND((D27*E27/1000),3)</f>
        <v>8.1069999999999993</v>
      </c>
      <c r="I27" s="95">
        <v>212</v>
      </c>
      <c r="J27" s="26">
        <f>C1</f>
        <v>42.67</v>
      </c>
      <c r="K27" s="26"/>
      <c r="L27" s="26"/>
      <c r="M27" s="26">
        <f>ROUND((I27*J27/1000),3)</f>
        <v>9.0459999999999994</v>
      </c>
      <c r="N27" s="26">
        <v>258</v>
      </c>
      <c r="O27" s="26">
        <f>D1</f>
        <v>44.63</v>
      </c>
      <c r="P27" s="26"/>
      <c r="Q27" s="26"/>
      <c r="R27" s="26">
        <f>ROUND((N27*O27/1000),3)</f>
        <v>11.515000000000001</v>
      </c>
      <c r="S27" s="26">
        <v>194</v>
      </c>
      <c r="T27" s="26">
        <f>D1</f>
        <v>44.63</v>
      </c>
      <c r="U27" s="26"/>
      <c r="V27" s="26"/>
      <c r="W27" s="26">
        <f>ROUND((S27*T27/1000),3)</f>
        <v>8.6579999999999995</v>
      </c>
      <c r="X27" s="26">
        <f>D27+I27+N27+S27</f>
        <v>854</v>
      </c>
      <c r="Y27" s="26"/>
      <c r="Z27" s="26">
        <f>H27+M27+R27+W27</f>
        <v>37.326000000000001</v>
      </c>
      <c r="AA27" s="96"/>
      <c r="AB27" s="15">
        <v>842</v>
      </c>
      <c r="AC27" s="15">
        <v>862</v>
      </c>
    </row>
    <row r="28" spans="1:29" ht="12" customHeight="1" x14ac:dyDescent="0.2">
      <c r="A28" s="24"/>
      <c r="B28" s="140" t="s">
        <v>92</v>
      </c>
      <c r="C28" s="190" t="s">
        <v>44</v>
      </c>
      <c r="D28" s="25">
        <v>3.6</v>
      </c>
      <c r="E28" s="26">
        <f>C8</f>
        <v>410.28</v>
      </c>
      <c r="F28" s="26"/>
      <c r="G28" s="26"/>
      <c r="H28" s="26">
        <f>ROUND((D28*E28/1000),3)</f>
        <v>1.4770000000000001</v>
      </c>
      <c r="I28" s="95">
        <v>3.6</v>
      </c>
      <c r="J28" s="26">
        <f>C8</f>
        <v>410.28</v>
      </c>
      <c r="K28" s="26"/>
      <c r="L28" s="26"/>
      <c r="M28" s="26">
        <f>ROUND((I28*J28/1000),3)</f>
        <v>1.4770000000000001</v>
      </c>
      <c r="N28" s="26">
        <v>15.78</v>
      </c>
      <c r="O28" s="26">
        <f>D8</f>
        <v>410.28</v>
      </c>
      <c r="P28" s="26"/>
      <c r="Q28" s="26"/>
      <c r="R28" s="26">
        <f>ROUND((N28*O28/1000),3)</f>
        <v>6.4740000000000002</v>
      </c>
      <c r="S28" s="26">
        <v>14.6</v>
      </c>
      <c r="T28" s="26">
        <f>D8</f>
        <v>410.28</v>
      </c>
      <c r="U28" s="26"/>
      <c r="V28" s="26"/>
      <c r="W28" s="26">
        <f>ROUND((S28*T28/1000),3)</f>
        <v>5.99</v>
      </c>
      <c r="X28" s="26">
        <f>D28+I28+N28+S28</f>
        <v>37.58</v>
      </c>
      <c r="Y28" s="26"/>
      <c r="Z28" s="26">
        <f>H28+M28+R28+W28</f>
        <v>15.418000000000001</v>
      </c>
      <c r="AA28" s="96"/>
      <c r="AB28" s="15">
        <v>14.4</v>
      </c>
      <c r="AC28" s="15">
        <v>14.4</v>
      </c>
    </row>
    <row r="29" spans="1:29" ht="12" customHeight="1" x14ac:dyDescent="0.2">
      <c r="A29" s="24" t="s">
        <v>148</v>
      </c>
      <c r="B29" s="94" t="s">
        <v>340</v>
      </c>
      <c r="C29" s="190"/>
      <c r="D29" s="25"/>
      <c r="E29" s="25"/>
      <c r="F29" s="25"/>
      <c r="G29" s="25"/>
      <c r="H29" s="26"/>
      <c r="I29" s="95"/>
      <c r="J29" s="26"/>
      <c r="K29" s="25"/>
      <c r="L29" s="25"/>
      <c r="M29" s="26"/>
      <c r="N29" s="26"/>
      <c r="O29" s="26"/>
      <c r="P29" s="25"/>
      <c r="Q29" s="25"/>
      <c r="R29" s="26"/>
      <c r="S29" s="26"/>
      <c r="T29" s="26"/>
      <c r="U29" s="25"/>
      <c r="V29" s="25"/>
      <c r="W29" s="26"/>
      <c r="X29" s="26"/>
      <c r="Y29" s="26"/>
      <c r="Z29" s="26"/>
      <c r="AA29" s="96"/>
    </row>
    <row r="30" spans="1:29" ht="12" customHeight="1" x14ac:dyDescent="0.2">
      <c r="A30" s="24"/>
      <c r="B30" s="93" t="s">
        <v>64</v>
      </c>
      <c r="C30" s="190" t="s">
        <v>38</v>
      </c>
      <c r="D30" s="25">
        <v>226</v>
      </c>
      <c r="E30" s="26">
        <f>C1</f>
        <v>42.67</v>
      </c>
      <c r="F30" s="26"/>
      <c r="G30" s="26"/>
      <c r="H30" s="26">
        <f>ROUND((D30*E30/1000),3)</f>
        <v>9.6430000000000007</v>
      </c>
      <c r="I30" s="97">
        <v>353</v>
      </c>
      <c r="J30" s="26">
        <f>C1</f>
        <v>42.67</v>
      </c>
      <c r="K30" s="26"/>
      <c r="L30" s="26"/>
      <c r="M30" s="26">
        <f>ROUND((I30*J30/1000),3)</f>
        <v>15.063000000000001</v>
      </c>
      <c r="N30" s="25">
        <v>345</v>
      </c>
      <c r="O30" s="26">
        <f>D1</f>
        <v>44.63</v>
      </c>
      <c r="P30" s="26"/>
      <c r="Q30" s="26"/>
      <c r="R30" s="26">
        <f>ROUND((N30*O30/1000),3)</f>
        <v>15.397</v>
      </c>
      <c r="S30" s="25">
        <v>302</v>
      </c>
      <c r="T30" s="26">
        <f>D1</f>
        <v>44.63</v>
      </c>
      <c r="U30" s="26"/>
      <c r="V30" s="26"/>
      <c r="W30" s="26">
        <f>ROUND((S30*T30/1000),3)</f>
        <v>13.478</v>
      </c>
      <c r="X30" s="26">
        <f>D30+I30+N30+S30</f>
        <v>1226</v>
      </c>
      <c r="Y30" s="26"/>
      <c r="Z30" s="26">
        <f>H30+M30+R30+W30</f>
        <v>53.581000000000003</v>
      </c>
      <c r="AA30" s="96"/>
      <c r="AB30" s="15">
        <v>1201</v>
      </c>
      <c r="AC30" s="15">
        <v>1289</v>
      </c>
    </row>
    <row r="31" spans="1:29" s="226" customFormat="1" ht="11.25" customHeight="1" x14ac:dyDescent="0.2">
      <c r="A31" s="221"/>
      <c r="B31" s="222" t="s">
        <v>32</v>
      </c>
      <c r="C31" s="190" t="s">
        <v>29</v>
      </c>
      <c r="D31" s="223">
        <v>924.1</v>
      </c>
      <c r="E31" s="224">
        <v>49.58</v>
      </c>
      <c r="F31" s="224">
        <v>25.82</v>
      </c>
      <c r="G31" s="224">
        <v>4697.71</v>
      </c>
      <c r="H31" s="26">
        <f>SUM((D31*E31)+G31*F31)/1000</f>
        <v>167.11175020000002</v>
      </c>
      <c r="I31" s="97">
        <v>277.2</v>
      </c>
      <c r="J31" s="224">
        <v>49.58</v>
      </c>
      <c r="K31" s="224">
        <v>25.82</v>
      </c>
      <c r="L31" s="224">
        <v>4697.71</v>
      </c>
      <c r="M31" s="26">
        <f>SUM((I31*J31)+L31*K31)/1000</f>
        <v>135.03844819999998</v>
      </c>
      <c r="N31" s="223">
        <v>432</v>
      </c>
      <c r="O31" s="224">
        <v>53.77</v>
      </c>
      <c r="P31" s="224">
        <v>25.82</v>
      </c>
      <c r="Q31" s="224">
        <v>5146.84</v>
      </c>
      <c r="R31" s="26">
        <f>SUM((N31*O31)+Q31*P31)/1000</f>
        <v>156.12004880000001</v>
      </c>
      <c r="S31" s="223">
        <v>2076.1</v>
      </c>
      <c r="T31" s="224">
        <v>53.77</v>
      </c>
      <c r="U31" s="224">
        <v>25.82</v>
      </c>
      <c r="V31" s="224">
        <v>5146.84</v>
      </c>
      <c r="W31" s="26">
        <f>SUM((S31*T31)+V31*U31)/1000</f>
        <v>244.5233058</v>
      </c>
      <c r="X31" s="224">
        <f>D31+I31+N31+S31</f>
        <v>3709.3999999999996</v>
      </c>
      <c r="Y31" s="224">
        <f>F31+K31+P31+U31</f>
        <v>103.28</v>
      </c>
      <c r="Z31" s="224">
        <f>H31+M31+R31+W31</f>
        <v>702.79355299999997</v>
      </c>
      <c r="AA31" s="225"/>
      <c r="AB31" s="226">
        <v>1535.8</v>
      </c>
      <c r="AC31" s="15">
        <v>2210.5</v>
      </c>
    </row>
    <row r="32" spans="1:29" ht="12" customHeight="1" x14ac:dyDescent="0.2">
      <c r="A32" s="24"/>
      <c r="B32" s="93" t="s">
        <v>43</v>
      </c>
      <c r="C32" s="190" t="s">
        <v>44</v>
      </c>
      <c r="D32" s="25">
        <f>D30+D31</f>
        <v>1150.0999999999999</v>
      </c>
      <c r="E32" s="26">
        <f>H5</f>
        <v>68.56</v>
      </c>
      <c r="F32" s="26"/>
      <c r="G32" s="26"/>
      <c r="H32" s="26">
        <f>ROUND((D32*E32/1000),3)</f>
        <v>78.850999999999999</v>
      </c>
      <c r="I32" s="97">
        <f>I30+I31</f>
        <v>630.20000000000005</v>
      </c>
      <c r="J32" s="26">
        <f>H5</f>
        <v>68.56</v>
      </c>
      <c r="K32" s="26"/>
      <c r="L32" s="26"/>
      <c r="M32" s="26">
        <f>ROUND((I32*J32/1000),3)</f>
        <v>43.207000000000001</v>
      </c>
      <c r="N32" s="25">
        <f>N30+N31</f>
        <v>777</v>
      </c>
      <c r="O32" s="26">
        <f>I5</f>
        <v>78.45</v>
      </c>
      <c r="P32" s="26"/>
      <c r="Q32" s="26"/>
      <c r="R32" s="26">
        <f>ROUND((N32*O32/1000),3)</f>
        <v>60.956000000000003</v>
      </c>
      <c r="S32" s="25">
        <f>S30+S31</f>
        <v>2378.1</v>
      </c>
      <c r="T32" s="26">
        <f>I5</f>
        <v>78.45</v>
      </c>
      <c r="U32" s="26"/>
      <c r="V32" s="26"/>
      <c r="W32" s="26">
        <f>ROUND((S32*T32/1000),3)</f>
        <v>186.56200000000001</v>
      </c>
      <c r="X32" s="26">
        <f>D32+I32+N32+S32</f>
        <v>4935.3999999999996</v>
      </c>
      <c r="Y32" s="26"/>
      <c r="Z32" s="26">
        <f>H32+M32+R32+W32</f>
        <v>369.57600000000002</v>
      </c>
      <c r="AA32" s="96"/>
      <c r="AB32" s="15">
        <v>2736.8</v>
      </c>
      <c r="AC32" s="15">
        <v>3499.5</v>
      </c>
    </row>
    <row r="33" spans="1:31" ht="12" customHeight="1" x14ac:dyDescent="0.2">
      <c r="A33" s="24" t="s">
        <v>156</v>
      </c>
      <c r="B33" s="94" t="s">
        <v>103</v>
      </c>
      <c r="C33" s="190"/>
      <c r="D33" s="25"/>
      <c r="E33" s="25"/>
      <c r="F33" s="25"/>
      <c r="G33" s="25"/>
      <c r="H33" s="26"/>
      <c r="I33" s="95"/>
      <c r="J33" s="26"/>
      <c r="K33" s="25"/>
      <c r="L33" s="25"/>
      <c r="M33" s="26"/>
      <c r="N33" s="26"/>
      <c r="O33" s="26"/>
      <c r="P33" s="25"/>
      <c r="Q33" s="25"/>
      <c r="R33" s="26"/>
      <c r="S33" s="26"/>
      <c r="T33" s="26"/>
      <c r="U33" s="25"/>
      <c r="V33" s="25"/>
      <c r="W33" s="26"/>
      <c r="X33" s="26"/>
      <c r="Y33" s="26"/>
      <c r="Z33" s="26"/>
      <c r="AA33" s="96"/>
    </row>
    <row r="34" spans="1:31" ht="12" customHeight="1" x14ac:dyDescent="0.2">
      <c r="A34" s="24"/>
      <c r="B34" s="93" t="s">
        <v>64</v>
      </c>
      <c r="C34" s="190" t="s">
        <v>38</v>
      </c>
      <c r="D34" s="25">
        <v>252</v>
      </c>
      <c r="E34" s="26">
        <f>C1</f>
        <v>42.67</v>
      </c>
      <c r="F34" s="26"/>
      <c r="G34" s="26"/>
      <c r="H34" s="26">
        <f>ROUND((D34*E34/1000),3)</f>
        <v>10.753</v>
      </c>
      <c r="I34" s="97">
        <v>243</v>
      </c>
      <c r="J34" s="26">
        <f>C1</f>
        <v>42.67</v>
      </c>
      <c r="K34" s="26"/>
      <c r="L34" s="26"/>
      <c r="M34" s="26">
        <f>ROUND((I34*J34/1000),3)</f>
        <v>10.369</v>
      </c>
      <c r="N34" s="25">
        <v>286</v>
      </c>
      <c r="O34" s="26">
        <f>D1</f>
        <v>44.63</v>
      </c>
      <c r="P34" s="26"/>
      <c r="Q34" s="26"/>
      <c r="R34" s="26">
        <f>ROUND((N34*O34/1000),3)</f>
        <v>12.763999999999999</v>
      </c>
      <c r="S34" s="25">
        <v>232</v>
      </c>
      <c r="T34" s="26">
        <f>D1</f>
        <v>44.63</v>
      </c>
      <c r="U34" s="26"/>
      <c r="V34" s="26"/>
      <c r="W34" s="26">
        <f>ROUND((S34*T34/1000),3)</f>
        <v>10.353999999999999</v>
      </c>
      <c r="X34" s="26">
        <f>D34+I34+N34+S34</f>
        <v>1013</v>
      </c>
      <c r="Y34" s="26"/>
      <c r="Z34" s="26">
        <f>H34+M34+R34+W34</f>
        <v>44.239999999999995</v>
      </c>
      <c r="AA34" s="96"/>
      <c r="AB34" s="15">
        <v>1278</v>
      </c>
      <c r="AC34" s="15">
        <v>976</v>
      </c>
    </row>
    <row r="35" spans="1:31" ht="12" customHeight="1" x14ac:dyDescent="0.2">
      <c r="A35" s="24"/>
      <c r="B35" s="93" t="s">
        <v>43</v>
      </c>
      <c r="C35" s="190" t="s">
        <v>44</v>
      </c>
      <c r="D35" s="25">
        <f>D34</f>
        <v>252</v>
      </c>
      <c r="E35" s="26">
        <f>H5</f>
        <v>68.56</v>
      </c>
      <c r="F35" s="26"/>
      <c r="G35" s="26"/>
      <c r="H35" s="26">
        <f>ROUND((D35*E35/1000),3)</f>
        <v>17.277000000000001</v>
      </c>
      <c r="I35" s="97">
        <f>I34</f>
        <v>243</v>
      </c>
      <c r="J35" s="26">
        <f>H5</f>
        <v>68.56</v>
      </c>
      <c r="K35" s="26"/>
      <c r="L35" s="26"/>
      <c r="M35" s="26">
        <f>ROUND((I35*J35/1000),3)</f>
        <v>16.66</v>
      </c>
      <c r="N35" s="25">
        <f>N34</f>
        <v>286</v>
      </c>
      <c r="O35" s="26">
        <f>I5</f>
        <v>78.45</v>
      </c>
      <c r="P35" s="26"/>
      <c r="Q35" s="26"/>
      <c r="R35" s="26">
        <f>ROUND((N35*O35/1000),3)</f>
        <v>22.437000000000001</v>
      </c>
      <c r="S35" s="25">
        <f>S34</f>
        <v>232</v>
      </c>
      <c r="T35" s="26">
        <f>I5</f>
        <v>78.45</v>
      </c>
      <c r="U35" s="26"/>
      <c r="V35" s="26"/>
      <c r="W35" s="26">
        <f>ROUND((S35*T35/1000),3)</f>
        <v>18.2</v>
      </c>
      <c r="X35" s="26">
        <f>D35+I35+N35+S35</f>
        <v>1013</v>
      </c>
      <c r="Y35" s="26"/>
      <c r="Z35" s="26">
        <f>H35+M35+R35+W35</f>
        <v>74.573999999999998</v>
      </c>
      <c r="AA35" s="96"/>
      <c r="AB35" s="15">
        <v>1278</v>
      </c>
      <c r="AC35" s="15">
        <v>976</v>
      </c>
    </row>
    <row r="36" spans="1:31" ht="12" customHeight="1" x14ac:dyDescent="0.2">
      <c r="A36" s="24" t="s">
        <v>157</v>
      </c>
      <c r="B36" s="94" t="s">
        <v>341</v>
      </c>
      <c r="C36" s="190"/>
      <c r="D36" s="25"/>
      <c r="E36" s="25"/>
      <c r="F36" s="25"/>
      <c r="G36" s="25"/>
      <c r="H36" s="26"/>
      <c r="I36" s="95"/>
      <c r="J36" s="26"/>
      <c r="K36" s="25"/>
      <c r="L36" s="25"/>
      <c r="M36" s="26"/>
      <c r="N36" s="26"/>
      <c r="O36" s="26"/>
      <c r="P36" s="25"/>
      <c r="Q36" s="25"/>
      <c r="R36" s="26"/>
      <c r="S36" s="26"/>
      <c r="T36" s="26"/>
      <c r="U36" s="25"/>
      <c r="V36" s="25"/>
      <c r="W36" s="26"/>
      <c r="X36" s="26"/>
      <c r="Y36" s="26"/>
      <c r="Z36" s="26"/>
      <c r="AA36" s="96"/>
    </row>
    <row r="37" spans="1:31" ht="12" customHeight="1" x14ac:dyDescent="0.2">
      <c r="A37" s="24"/>
      <c r="B37" s="93" t="s">
        <v>64</v>
      </c>
      <c r="C37" s="190" t="s">
        <v>38</v>
      </c>
      <c r="D37" s="25">
        <v>194</v>
      </c>
      <c r="E37" s="26">
        <f>C1</f>
        <v>42.67</v>
      </c>
      <c r="F37" s="26"/>
      <c r="G37" s="26"/>
      <c r="H37" s="26">
        <f>ROUND((D37*E37/1000),3)</f>
        <v>8.2780000000000005</v>
      </c>
      <c r="I37" s="95">
        <v>200</v>
      </c>
      <c r="J37" s="26">
        <f>C1</f>
        <v>42.67</v>
      </c>
      <c r="K37" s="26"/>
      <c r="L37" s="26"/>
      <c r="M37" s="26">
        <f>ROUND((I37*J37/1000),3)</f>
        <v>8.5340000000000007</v>
      </c>
      <c r="N37" s="26">
        <v>217</v>
      </c>
      <c r="O37" s="26">
        <f>D1</f>
        <v>44.63</v>
      </c>
      <c r="P37" s="26"/>
      <c r="Q37" s="26"/>
      <c r="R37" s="26">
        <f>ROUND((N37*O37/1000),3)</f>
        <v>9.6850000000000005</v>
      </c>
      <c r="S37" s="26">
        <v>168</v>
      </c>
      <c r="T37" s="26">
        <f>D1</f>
        <v>44.63</v>
      </c>
      <c r="U37" s="26"/>
      <c r="V37" s="26"/>
      <c r="W37" s="26">
        <f>ROUND((S37*T37/1000),3)</f>
        <v>7.4980000000000002</v>
      </c>
      <c r="X37" s="26">
        <f>D37+I37+N37+S37</f>
        <v>779</v>
      </c>
      <c r="Y37" s="26"/>
      <c r="Z37" s="26">
        <f>H37+M37+R37+W37</f>
        <v>33.994999999999997</v>
      </c>
      <c r="AA37" s="96"/>
      <c r="AB37" s="15">
        <v>1222</v>
      </c>
      <c r="AC37" s="15">
        <v>779</v>
      </c>
      <c r="AE37" s="15">
        <v>75644</v>
      </c>
    </row>
    <row r="38" spans="1:31" ht="12" customHeight="1" x14ac:dyDescent="0.2">
      <c r="A38" s="24"/>
      <c r="B38" s="140" t="s">
        <v>92</v>
      </c>
      <c r="C38" s="190" t="s">
        <v>44</v>
      </c>
      <c r="D38" s="25">
        <v>3</v>
      </c>
      <c r="E38" s="26">
        <f>C8</f>
        <v>410.28</v>
      </c>
      <c r="F38" s="26"/>
      <c r="G38" s="26"/>
      <c r="H38" s="26">
        <f>ROUND((D38*E38/1000),3)</f>
        <v>1.2310000000000001</v>
      </c>
      <c r="I38" s="95">
        <v>3</v>
      </c>
      <c r="J38" s="26">
        <f>C8</f>
        <v>410.28</v>
      </c>
      <c r="K38" s="26"/>
      <c r="L38" s="26"/>
      <c r="M38" s="26">
        <f>ROUND((I38*J38/1000),3)</f>
        <v>1.2310000000000001</v>
      </c>
      <c r="N38" s="26">
        <v>3</v>
      </c>
      <c r="O38" s="26">
        <f>D8</f>
        <v>410.28</v>
      </c>
      <c r="P38" s="26"/>
      <c r="Q38" s="26"/>
      <c r="R38" s="26">
        <f>ROUND((N38*O38/1000),3)</f>
        <v>1.2310000000000001</v>
      </c>
      <c r="S38" s="26">
        <v>3</v>
      </c>
      <c r="T38" s="26">
        <f>D8</f>
        <v>410.28</v>
      </c>
      <c r="U38" s="26"/>
      <c r="V38" s="26"/>
      <c r="W38" s="26">
        <f>ROUND((S38*T38/1000),3)</f>
        <v>1.2310000000000001</v>
      </c>
      <c r="X38" s="26">
        <f>D38+I38+N38+S38</f>
        <v>12</v>
      </c>
      <c r="Y38" s="26"/>
      <c r="Z38" s="26">
        <f>H38+M38+R38+W38</f>
        <v>4.9240000000000004</v>
      </c>
      <c r="AA38" s="96"/>
      <c r="AB38" s="15">
        <v>12</v>
      </c>
      <c r="AC38" s="15">
        <v>12</v>
      </c>
    </row>
    <row r="39" spans="1:31" ht="12" customHeight="1" x14ac:dyDescent="0.2">
      <c r="A39" s="24" t="s">
        <v>158</v>
      </c>
      <c r="B39" s="142" t="s">
        <v>368</v>
      </c>
      <c r="C39" s="190"/>
      <c r="D39" s="25"/>
      <c r="E39" s="25"/>
      <c r="F39" s="25"/>
      <c r="G39" s="25"/>
      <c r="H39" s="26"/>
      <c r="I39" s="95"/>
      <c r="J39" s="26"/>
      <c r="K39" s="25"/>
      <c r="L39" s="25"/>
      <c r="M39" s="26"/>
      <c r="N39" s="26"/>
      <c r="O39" s="26"/>
      <c r="P39" s="25"/>
      <c r="Q39" s="25"/>
      <c r="R39" s="26"/>
      <c r="S39" s="26"/>
      <c r="T39" s="26"/>
      <c r="U39" s="25"/>
      <c r="V39" s="25"/>
      <c r="W39" s="26"/>
      <c r="X39" s="26"/>
      <c r="Y39" s="26"/>
      <c r="Z39" s="26"/>
      <c r="AA39" s="96"/>
    </row>
    <row r="40" spans="1:31" ht="12.75" customHeight="1" x14ac:dyDescent="0.2">
      <c r="A40" s="24"/>
      <c r="B40" s="93" t="s">
        <v>64</v>
      </c>
      <c r="C40" s="190" t="s">
        <v>67</v>
      </c>
      <c r="D40" s="25">
        <v>81</v>
      </c>
      <c r="E40" s="25">
        <f>C3</f>
        <v>32.9</v>
      </c>
      <c r="F40" s="25"/>
      <c r="G40" s="25"/>
      <c r="H40" s="26">
        <f>ROUND((D40*E40/1000),3)</f>
        <v>2.665</v>
      </c>
      <c r="I40" s="95">
        <v>56</v>
      </c>
      <c r="J40" s="26">
        <f>C3</f>
        <v>32.9</v>
      </c>
      <c r="K40" s="25"/>
      <c r="L40" s="25"/>
      <c r="M40" s="26">
        <f>ROUND((I40*J40/1000),3)</f>
        <v>1.8420000000000001</v>
      </c>
      <c r="N40" s="26">
        <v>86</v>
      </c>
      <c r="O40" s="26">
        <f>D3</f>
        <v>37.200000000000003</v>
      </c>
      <c r="P40" s="25"/>
      <c r="Q40" s="25"/>
      <c r="R40" s="26">
        <f>ROUND((N40*O40/1000),3)</f>
        <v>3.1989999999999998</v>
      </c>
      <c r="S40" s="26">
        <v>77</v>
      </c>
      <c r="T40" s="26">
        <f>D3</f>
        <v>37.200000000000003</v>
      </c>
      <c r="U40" s="25"/>
      <c r="V40" s="25"/>
      <c r="W40" s="26">
        <f>ROUND((S40*T40/1000),3)</f>
        <v>2.8639999999999999</v>
      </c>
      <c r="X40" s="26">
        <f>D40+I40+N40+S40</f>
        <v>300</v>
      </c>
      <c r="Y40" s="26"/>
      <c r="Z40" s="26">
        <f>H40+M40+R40+W40</f>
        <v>10.57</v>
      </c>
      <c r="AA40" s="96"/>
      <c r="AB40" s="15">
        <v>257</v>
      </c>
      <c r="AC40" s="15">
        <v>265</v>
      </c>
    </row>
    <row r="41" spans="1:31" ht="12.75" customHeight="1" x14ac:dyDescent="0.2">
      <c r="A41" s="24"/>
      <c r="B41" s="140" t="s">
        <v>92</v>
      </c>
      <c r="C41" s="190" t="s">
        <v>254</v>
      </c>
      <c r="D41" s="25">
        <v>8</v>
      </c>
      <c r="E41" s="26">
        <f>H7</f>
        <v>280</v>
      </c>
      <c r="F41" s="26"/>
      <c r="G41" s="26"/>
      <c r="H41" s="26">
        <f>ROUND((D41*E41/1000),3)</f>
        <v>2.2400000000000002</v>
      </c>
      <c r="I41" s="95">
        <v>12</v>
      </c>
      <c r="J41" s="26">
        <f>H7</f>
        <v>280</v>
      </c>
      <c r="K41" s="26"/>
      <c r="L41" s="26"/>
      <c r="M41" s="26">
        <f>ROUND((I41*J41/1000),3)</f>
        <v>3.36</v>
      </c>
      <c r="N41" s="26">
        <v>4</v>
      </c>
      <c r="O41" s="26">
        <f>I7</f>
        <v>280</v>
      </c>
      <c r="P41" s="26"/>
      <c r="Q41" s="26"/>
      <c r="R41" s="26">
        <f>ROUND((N41*O41/1000),3)</f>
        <v>1.1200000000000001</v>
      </c>
      <c r="S41" s="26">
        <v>16</v>
      </c>
      <c r="T41" s="26">
        <f>I7</f>
        <v>280</v>
      </c>
      <c r="U41" s="26"/>
      <c r="V41" s="26"/>
      <c r="W41" s="26">
        <f>ROUND((S41*T41/1000),3)</f>
        <v>4.4800000000000004</v>
      </c>
      <c r="X41" s="26">
        <f>D41+I41+N41+S41</f>
        <v>40</v>
      </c>
      <c r="Y41" s="26"/>
      <c r="Z41" s="26">
        <f>H41+M41+R41+W41</f>
        <v>11.2</v>
      </c>
      <c r="AA41" s="96"/>
      <c r="AB41" s="15">
        <v>100</v>
      </c>
      <c r="AC41" s="15">
        <v>100</v>
      </c>
    </row>
    <row r="42" spans="1:31" ht="12" customHeight="1" x14ac:dyDescent="0.2">
      <c r="A42" s="24" t="s">
        <v>159</v>
      </c>
      <c r="B42" s="142" t="s">
        <v>369</v>
      </c>
      <c r="C42" s="190"/>
      <c r="D42" s="25"/>
      <c r="E42" s="25"/>
      <c r="F42" s="25"/>
      <c r="G42" s="25"/>
      <c r="H42" s="26"/>
      <c r="I42" s="95"/>
      <c r="J42" s="26"/>
      <c r="K42" s="25"/>
      <c r="L42" s="25"/>
      <c r="M42" s="26"/>
      <c r="N42" s="26"/>
      <c r="O42" s="26"/>
      <c r="P42" s="25"/>
      <c r="Q42" s="25"/>
      <c r="R42" s="26"/>
      <c r="S42" s="26"/>
      <c r="T42" s="26"/>
      <c r="U42" s="25"/>
      <c r="V42" s="25"/>
      <c r="W42" s="26"/>
      <c r="X42" s="26"/>
      <c r="Y42" s="26"/>
      <c r="Z42" s="26"/>
      <c r="AA42" s="96"/>
    </row>
    <row r="43" spans="1:31" ht="15" customHeight="1" x14ac:dyDescent="0.2">
      <c r="A43" s="24"/>
      <c r="B43" s="93" t="s">
        <v>64</v>
      </c>
      <c r="C43" s="190" t="s">
        <v>67</v>
      </c>
      <c r="D43" s="25">
        <v>119</v>
      </c>
      <c r="E43" s="25">
        <f>C3</f>
        <v>32.9</v>
      </c>
      <c r="F43" s="25"/>
      <c r="G43" s="25"/>
      <c r="H43" s="26">
        <f>ROUND((D43*E43/1000),3)</f>
        <v>3.915</v>
      </c>
      <c r="I43" s="95">
        <v>132</v>
      </c>
      <c r="J43" s="26">
        <f>C3</f>
        <v>32.9</v>
      </c>
      <c r="K43" s="25"/>
      <c r="L43" s="25"/>
      <c r="M43" s="26">
        <f>ROUND((I43*J43/1000),3)</f>
        <v>4.343</v>
      </c>
      <c r="N43" s="26">
        <v>198</v>
      </c>
      <c r="O43" s="26">
        <f>D3</f>
        <v>37.200000000000003</v>
      </c>
      <c r="P43" s="25"/>
      <c r="Q43" s="25"/>
      <c r="R43" s="26">
        <f>ROUND((N43*O43/1000),3)</f>
        <v>7.3659999999999997</v>
      </c>
      <c r="S43" s="26">
        <v>120</v>
      </c>
      <c r="T43" s="26">
        <f>D3</f>
        <v>37.200000000000003</v>
      </c>
      <c r="U43" s="25"/>
      <c r="V43" s="25"/>
      <c r="W43" s="26">
        <f>ROUND((S43*T43/1000),3)</f>
        <v>4.4640000000000004</v>
      </c>
      <c r="X43" s="26">
        <f>D43+I43+N43+S43</f>
        <v>569</v>
      </c>
      <c r="Y43" s="26"/>
      <c r="Z43" s="26">
        <f>H43+M43+R43+W43</f>
        <v>20.088000000000001</v>
      </c>
      <c r="AA43" s="96"/>
      <c r="AB43" s="15">
        <v>497</v>
      </c>
      <c r="AC43" s="15">
        <v>534</v>
      </c>
    </row>
    <row r="44" spans="1:31" ht="13.5" customHeight="1" x14ac:dyDescent="0.2">
      <c r="A44" s="24"/>
      <c r="B44" s="140" t="s">
        <v>92</v>
      </c>
      <c r="C44" s="190" t="s">
        <v>254</v>
      </c>
      <c r="D44" s="25">
        <v>96</v>
      </c>
      <c r="E44" s="26">
        <f>H7</f>
        <v>280</v>
      </c>
      <c r="F44" s="26"/>
      <c r="G44" s="26"/>
      <c r="H44" s="26">
        <f>ROUND((D44*E44/1000),3)</f>
        <v>26.88</v>
      </c>
      <c r="I44" s="95">
        <v>76</v>
      </c>
      <c r="J44" s="26">
        <f>H7</f>
        <v>280</v>
      </c>
      <c r="K44" s="26"/>
      <c r="L44" s="26"/>
      <c r="M44" s="26">
        <f>ROUND((I44*J44/1000),3)</f>
        <v>21.28</v>
      </c>
      <c r="N44" s="26">
        <v>108</v>
      </c>
      <c r="O44" s="26">
        <f>I7</f>
        <v>280</v>
      </c>
      <c r="P44" s="26"/>
      <c r="Q44" s="26"/>
      <c r="R44" s="26">
        <f>ROUND((N44*O44/1000),3)</f>
        <v>30.24</v>
      </c>
      <c r="S44" s="26">
        <v>84</v>
      </c>
      <c r="T44" s="26">
        <f>I7</f>
        <v>280</v>
      </c>
      <c r="U44" s="26"/>
      <c r="V44" s="26"/>
      <c r="W44" s="26">
        <f>ROUND((S44*T44/1000),3)</f>
        <v>23.52</v>
      </c>
      <c r="X44" s="26">
        <f>D44+I44+N44+S44</f>
        <v>364</v>
      </c>
      <c r="Y44" s="26"/>
      <c r="Z44" s="26">
        <f>H44+M44+R44+W44</f>
        <v>101.91999999999999</v>
      </c>
      <c r="AA44" s="96"/>
      <c r="AB44" s="15">
        <v>360</v>
      </c>
      <c r="AC44" s="15">
        <v>360</v>
      </c>
    </row>
    <row r="45" spans="1:31" ht="12" customHeight="1" x14ac:dyDescent="0.2">
      <c r="A45" s="24" t="s">
        <v>160</v>
      </c>
      <c r="B45" s="142" t="s">
        <v>342</v>
      </c>
      <c r="C45" s="190"/>
      <c r="D45" s="25"/>
      <c r="E45" s="25"/>
      <c r="F45" s="25"/>
      <c r="G45" s="25"/>
      <c r="H45" s="26"/>
      <c r="I45" s="95"/>
      <c r="J45" s="26"/>
      <c r="K45" s="25"/>
      <c r="L45" s="25"/>
      <c r="M45" s="26"/>
      <c r="N45" s="26"/>
      <c r="O45" s="26"/>
      <c r="P45" s="25"/>
      <c r="Q45" s="25"/>
      <c r="R45" s="26"/>
      <c r="S45" s="26"/>
      <c r="T45" s="26"/>
      <c r="U45" s="25"/>
      <c r="V45" s="25"/>
      <c r="W45" s="26"/>
      <c r="X45" s="26"/>
      <c r="Y45" s="26"/>
      <c r="Z45" s="26"/>
      <c r="AA45" s="96"/>
    </row>
    <row r="46" spans="1:31" ht="12" customHeight="1" x14ac:dyDescent="0.2">
      <c r="A46" s="24"/>
      <c r="B46" s="93" t="s">
        <v>64</v>
      </c>
      <c r="C46" s="190" t="s">
        <v>53</v>
      </c>
      <c r="D46" s="25">
        <v>159</v>
      </c>
      <c r="E46" s="26">
        <f>C4</f>
        <v>44.28</v>
      </c>
      <c r="F46" s="26"/>
      <c r="G46" s="26"/>
      <c r="H46" s="26">
        <f>ROUND((D46*E46/1000),3)</f>
        <v>7.0410000000000004</v>
      </c>
      <c r="I46" s="97">
        <v>174</v>
      </c>
      <c r="J46" s="26">
        <f>C4</f>
        <v>44.28</v>
      </c>
      <c r="K46" s="26"/>
      <c r="L46" s="26"/>
      <c r="M46" s="26">
        <f>ROUND((I46*J46/1000),3)</f>
        <v>7.7050000000000001</v>
      </c>
      <c r="N46" s="25">
        <v>175</v>
      </c>
      <c r="O46" s="26">
        <f>D4</f>
        <v>44.74</v>
      </c>
      <c r="P46" s="26"/>
      <c r="Q46" s="26"/>
      <c r="R46" s="26">
        <f>ROUND((N46*O46/1000),3)</f>
        <v>7.83</v>
      </c>
      <c r="S46" s="25">
        <v>186</v>
      </c>
      <c r="T46" s="26">
        <f>D4</f>
        <v>44.74</v>
      </c>
      <c r="U46" s="26"/>
      <c r="V46" s="26"/>
      <c r="W46" s="26">
        <f>ROUND((S46*T46/1000),3)</f>
        <v>8.3219999999999992</v>
      </c>
      <c r="X46" s="26">
        <f>D46+I46+N46+S46</f>
        <v>694</v>
      </c>
      <c r="Y46" s="26"/>
      <c r="Z46" s="26">
        <f>H46+M46+R46+W46</f>
        <v>30.898</v>
      </c>
      <c r="AA46" s="96"/>
      <c r="AB46" s="15">
        <v>784</v>
      </c>
      <c r="AC46" s="16">
        <v>694</v>
      </c>
    </row>
    <row r="47" spans="1:31" ht="12" customHeight="1" x14ac:dyDescent="0.2">
      <c r="A47" s="24"/>
      <c r="B47" s="140" t="s">
        <v>92</v>
      </c>
      <c r="C47" s="190" t="s">
        <v>53</v>
      </c>
      <c r="D47" s="25">
        <v>161</v>
      </c>
      <c r="E47" s="26">
        <f>M7</f>
        <v>393.56</v>
      </c>
      <c r="F47" s="26"/>
      <c r="G47" s="26"/>
      <c r="H47" s="26">
        <f>ROUND((D47*E47/1000),3)</f>
        <v>63.363</v>
      </c>
      <c r="I47" s="95">
        <v>174</v>
      </c>
      <c r="J47" s="26">
        <f>M7</f>
        <v>393.56</v>
      </c>
      <c r="K47" s="26"/>
      <c r="L47" s="26"/>
      <c r="M47" s="26">
        <f>ROUND((I47*J47/1000),3)</f>
        <v>68.478999999999999</v>
      </c>
      <c r="N47" s="26">
        <v>168</v>
      </c>
      <c r="O47" s="26">
        <f>N7</f>
        <v>452.59</v>
      </c>
      <c r="P47" s="26"/>
      <c r="Q47" s="26"/>
      <c r="R47" s="26">
        <f>ROUND((N47*O47/1000),3)</f>
        <v>76.034999999999997</v>
      </c>
      <c r="S47" s="26">
        <v>166</v>
      </c>
      <c r="T47" s="26">
        <f>N7</f>
        <v>452.59</v>
      </c>
      <c r="U47" s="26"/>
      <c r="V47" s="26"/>
      <c r="W47" s="26">
        <f>ROUND((S47*T47/1000),3)</f>
        <v>75.13</v>
      </c>
      <c r="X47" s="26">
        <f>D47+I47+N47+S47</f>
        <v>669</v>
      </c>
      <c r="Y47" s="26"/>
      <c r="Z47" s="26">
        <f>H47+M47+R47+W47</f>
        <v>283.00699999999995</v>
      </c>
      <c r="AA47" s="96"/>
      <c r="AB47" s="15">
        <v>735</v>
      </c>
      <c r="AC47" s="15">
        <v>694</v>
      </c>
    </row>
    <row r="48" spans="1:31" ht="12" customHeight="1" x14ac:dyDescent="0.2">
      <c r="A48" s="24" t="s">
        <v>161</v>
      </c>
      <c r="B48" s="142" t="s">
        <v>343</v>
      </c>
      <c r="C48" s="190"/>
      <c r="D48" s="25"/>
      <c r="E48" s="25"/>
      <c r="F48" s="25"/>
      <c r="G48" s="25"/>
      <c r="H48" s="26"/>
      <c r="I48" s="95"/>
      <c r="J48" s="26"/>
      <c r="K48" s="25"/>
      <c r="L48" s="25"/>
      <c r="M48" s="26"/>
      <c r="N48" s="26"/>
      <c r="O48" s="26"/>
      <c r="P48" s="25"/>
      <c r="Q48" s="25"/>
      <c r="R48" s="26"/>
      <c r="S48" s="26"/>
      <c r="T48" s="26"/>
      <c r="U48" s="25"/>
      <c r="V48" s="25"/>
      <c r="W48" s="26"/>
      <c r="X48" s="26"/>
      <c r="Y48" s="26"/>
      <c r="Z48" s="26"/>
      <c r="AA48" s="96"/>
    </row>
    <row r="49" spans="1:30" ht="12" customHeight="1" x14ac:dyDescent="0.2">
      <c r="A49" s="24"/>
      <c r="B49" s="93" t="s">
        <v>40</v>
      </c>
      <c r="C49" s="190" t="s">
        <v>66</v>
      </c>
      <c r="D49" s="25">
        <v>71</v>
      </c>
      <c r="E49" s="25">
        <f>C5</f>
        <v>40.72</v>
      </c>
      <c r="F49" s="25"/>
      <c r="G49" s="25"/>
      <c r="H49" s="26">
        <f>ROUND((D49*E49/1000),3)</f>
        <v>2.891</v>
      </c>
      <c r="I49" s="95">
        <v>69</v>
      </c>
      <c r="J49" s="26">
        <f>C5</f>
        <v>40.72</v>
      </c>
      <c r="K49" s="25"/>
      <c r="L49" s="25"/>
      <c r="M49" s="26">
        <f>ROUND((I49*J49/1000),3)</f>
        <v>2.81</v>
      </c>
      <c r="N49" s="26">
        <v>101</v>
      </c>
      <c r="O49" s="26">
        <f>D5</f>
        <v>41.29</v>
      </c>
      <c r="P49" s="25"/>
      <c r="Q49" s="25"/>
      <c r="R49" s="26">
        <f>ROUND((N49*O49/1000),3)</f>
        <v>4.17</v>
      </c>
      <c r="S49" s="26">
        <v>92</v>
      </c>
      <c r="T49" s="26">
        <f>D5</f>
        <v>41.29</v>
      </c>
      <c r="U49" s="25"/>
      <c r="V49" s="25"/>
      <c r="W49" s="26">
        <f>ROUND((S49*T49/1000),3)</f>
        <v>3.7989999999999999</v>
      </c>
      <c r="X49" s="26">
        <f>D49+I49+N49+S49</f>
        <v>333</v>
      </c>
      <c r="Y49" s="26"/>
      <c r="Z49" s="26">
        <f>H49+M49+R49+W49</f>
        <v>13.67</v>
      </c>
      <c r="AA49" s="96"/>
      <c r="AB49" s="15">
        <v>486</v>
      </c>
      <c r="AC49" s="16">
        <v>427</v>
      </c>
    </row>
    <row r="50" spans="1:30" ht="11.85" customHeight="1" x14ac:dyDescent="0.2">
      <c r="A50" s="24"/>
      <c r="B50" s="93" t="s">
        <v>32</v>
      </c>
      <c r="C50" s="190" t="s">
        <v>29</v>
      </c>
      <c r="D50" s="25">
        <v>73</v>
      </c>
      <c r="E50" s="26">
        <v>49.58</v>
      </c>
      <c r="F50" s="26">
        <v>3.1560000000000001</v>
      </c>
      <c r="G50" s="224">
        <v>4697.71</v>
      </c>
      <c r="H50" s="26">
        <f>((G50*F50+E50*D50)/1000)</f>
        <v>18.44531276</v>
      </c>
      <c r="I50" s="95">
        <v>74.8</v>
      </c>
      <c r="J50" s="26">
        <v>49.58</v>
      </c>
      <c r="K50" s="26">
        <v>3.1560000000000001</v>
      </c>
      <c r="L50" s="224">
        <v>4697.71</v>
      </c>
      <c r="M50" s="26">
        <f>((L50*K50+J50*I50)/1000)</f>
        <v>18.534556760000001</v>
      </c>
      <c r="N50" s="26">
        <v>63</v>
      </c>
      <c r="O50" s="26">
        <v>53.77</v>
      </c>
      <c r="P50" s="26">
        <v>3.1560000000000001</v>
      </c>
      <c r="Q50" s="26">
        <v>5146.84</v>
      </c>
      <c r="R50" s="26">
        <f>((Q50*P50+O50*N50)/1000)</f>
        <v>19.630937039999999</v>
      </c>
      <c r="S50" s="26">
        <v>74.7</v>
      </c>
      <c r="T50" s="26">
        <v>53.77</v>
      </c>
      <c r="U50" s="26">
        <v>3.1560000000000001</v>
      </c>
      <c r="V50" s="26">
        <v>5146.84</v>
      </c>
      <c r="W50" s="26">
        <f>((V50*U50+T50*S50)/1000)</f>
        <v>20.260046040000002</v>
      </c>
      <c r="X50" s="26">
        <f>D50+I50+N50+S50</f>
        <v>285.5</v>
      </c>
      <c r="Y50" s="26">
        <f>F50+K50+P50+U50</f>
        <v>12.624000000000001</v>
      </c>
      <c r="Z50" s="26">
        <f>H50+M50+R50+W50</f>
        <v>76.870852600000006</v>
      </c>
      <c r="AA50" s="96"/>
      <c r="AB50" s="15">
        <v>360.59999999999997</v>
      </c>
      <c r="AC50" s="16">
        <v>232.5</v>
      </c>
    </row>
    <row r="51" spans="1:30" ht="11.85" customHeight="1" x14ac:dyDescent="0.2">
      <c r="A51" s="24"/>
      <c r="B51" s="140" t="s">
        <v>92</v>
      </c>
      <c r="C51" s="190" t="s">
        <v>44</v>
      </c>
      <c r="D51" s="25">
        <v>33.6</v>
      </c>
      <c r="E51" s="26">
        <f>M8</f>
        <v>870</v>
      </c>
      <c r="F51" s="26"/>
      <c r="G51" s="26"/>
      <c r="H51" s="26">
        <f>ROUND((D51*E51/1000),3)</f>
        <v>29.231999999999999</v>
      </c>
      <c r="I51" s="95">
        <v>24.3</v>
      </c>
      <c r="J51" s="26">
        <f>M8</f>
        <v>870</v>
      </c>
      <c r="K51" s="26"/>
      <c r="L51" s="26"/>
      <c r="M51" s="26">
        <f>ROUND((I51*J51/1000),3)</f>
        <v>21.140999999999998</v>
      </c>
      <c r="N51" s="26">
        <v>34.6</v>
      </c>
      <c r="O51" s="26">
        <f>N8</f>
        <v>870</v>
      </c>
      <c r="P51" s="26"/>
      <c r="Q51" s="26"/>
      <c r="R51" s="26">
        <f>ROUND((N51*O51/1000),3)</f>
        <v>30.102</v>
      </c>
      <c r="S51" s="26">
        <v>33.6</v>
      </c>
      <c r="T51" s="26">
        <f>N8</f>
        <v>870</v>
      </c>
      <c r="U51" s="26"/>
      <c r="V51" s="26"/>
      <c r="W51" s="26">
        <f>ROUND((S51*T51/1000),3)</f>
        <v>29.231999999999999</v>
      </c>
      <c r="X51" s="26">
        <f>D51+I51+N51+S51</f>
        <v>126.1</v>
      </c>
      <c r="Y51" s="26"/>
      <c r="Z51" s="26">
        <f>H51+M51+R51+W51</f>
        <v>109.70699999999999</v>
      </c>
      <c r="AA51" s="96"/>
      <c r="AB51" s="15">
        <v>215.2</v>
      </c>
      <c r="AC51" s="15">
        <v>215.2</v>
      </c>
      <c r="AD51" s="15" t="s">
        <v>42</v>
      </c>
    </row>
    <row r="52" spans="1:30" ht="12" customHeight="1" x14ac:dyDescent="0.2">
      <c r="A52" s="24" t="s">
        <v>162</v>
      </c>
      <c r="B52" s="142" t="s">
        <v>370</v>
      </c>
      <c r="C52" s="190"/>
      <c r="D52" s="25"/>
      <c r="E52" s="25"/>
      <c r="F52" s="25"/>
      <c r="G52" s="25"/>
      <c r="H52" s="26"/>
      <c r="I52" s="95"/>
      <c r="J52" s="26"/>
      <c r="K52" s="25"/>
      <c r="L52" s="25"/>
      <c r="M52" s="26"/>
      <c r="N52" s="26"/>
      <c r="O52" s="26"/>
      <c r="P52" s="25"/>
      <c r="Q52" s="25"/>
      <c r="R52" s="26"/>
      <c r="S52" s="26"/>
      <c r="T52" s="26"/>
      <c r="U52" s="25"/>
      <c r="V52" s="25"/>
      <c r="W52" s="26"/>
      <c r="X52" s="26"/>
      <c r="Y52" s="26"/>
      <c r="Z52" s="26"/>
      <c r="AA52" s="96"/>
    </row>
    <row r="53" spans="1:30" ht="12" customHeight="1" x14ac:dyDescent="0.2">
      <c r="A53" s="24"/>
      <c r="B53" s="93" t="s">
        <v>64</v>
      </c>
      <c r="C53" s="190" t="s">
        <v>41</v>
      </c>
      <c r="D53" s="25">
        <v>351</v>
      </c>
      <c r="E53" s="25">
        <f>C2</f>
        <v>43.81</v>
      </c>
      <c r="F53" s="25"/>
      <c r="G53" s="25"/>
      <c r="H53" s="26">
        <f>ROUND((D53*E53/1000),3)</f>
        <v>15.377000000000001</v>
      </c>
      <c r="I53" s="95">
        <v>400</v>
      </c>
      <c r="J53" s="26">
        <f>C2</f>
        <v>43.81</v>
      </c>
      <c r="K53" s="25"/>
      <c r="L53" s="25"/>
      <c r="M53" s="26">
        <f>ROUND((I53*J53/1000),3)</f>
        <v>17.524000000000001</v>
      </c>
      <c r="N53" s="26">
        <v>489</v>
      </c>
      <c r="O53" s="26">
        <f>D2</f>
        <v>51.02</v>
      </c>
      <c r="P53" s="25"/>
      <c r="Q53" s="25"/>
      <c r="R53" s="26">
        <f>ROUND((N53*O53/1000),3)</f>
        <v>24.949000000000002</v>
      </c>
      <c r="S53" s="26">
        <v>399</v>
      </c>
      <c r="T53" s="26">
        <f>D2</f>
        <v>51.02</v>
      </c>
      <c r="U53" s="25"/>
      <c r="V53" s="25"/>
      <c r="W53" s="26">
        <f>ROUND((S53*T53/1000),3)</f>
        <v>20.356999999999999</v>
      </c>
      <c r="X53" s="26">
        <f>D53+I53+N53+S53</f>
        <v>1639</v>
      </c>
      <c r="Y53" s="26"/>
      <c r="Z53" s="26">
        <f>H53+M53+R53+W53</f>
        <v>78.207000000000008</v>
      </c>
      <c r="AA53" s="96"/>
      <c r="AB53" s="15">
        <v>1823.2</v>
      </c>
      <c r="AC53" s="15">
        <v>1689.2</v>
      </c>
    </row>
    <row r="54" spans="1:30" ht="12" customHeight="1" x14ac:dyDescent="0.2">
      <c r="A54" s="24"/>
      <c r="B54" s="140" t="s">
        <v>92</v>
      </c>
      <c r="C54" s="190" t="s">
        <v>41</v>
      </c>
      <c r="D54" s="25">
        <v>401.2</v>
      </c>
      <c r="E54" s="26">
        <f>H8</f>
        <v>620</v>
      </c>
      <c r="F54" s="26"/>
      <c r="G54" s="26"/>
      <c r="H54" s="26">
        <f>ROUND((D54*E54/1000),3)</f>
        <v>248.744</v>
      </c>
      <c r="I54" s="95">
        <v>389.4</v>
      </c>
      <c r="J54" s="26">
        <f>H8</f>
        <v>620</v>
      </c>
      <c r="K54" s="26"/>
      <c r="L54" s="26"/>
      <c r="M54" s="26">
        <f>ROUND((I54*J54/1000),3)</f>
        <v>241.428</v>
      </c>
      <c r="N54" s="26">
        <v>460.2</v>
      </c>
      <c r="O54" s="26">
        <f>I8</f>
        <v>620</v>
      </c>
      <c r="P54" s="26"/>
      <c r="Q54" s="26"/>
      <c r="R54" s="26">
        <f>ROUND((N54*O54/1000),3)</f>
        <v>285.32400000000001</v>
      </c>
      <c r="S54" s="26">
        <v>448.4</v>
      </c>
      <c r="T54" s="26">
        <f>I8</f>
        <v>620</v>
      </c>
      <c r="U54" s="26"/>
      <c r="V54" s="26"/>
      <c r="W54" s="26">
        <f>ROUND((S54*T54/1000),3)</f>
        <v>278.00799999999998</v>
      </c>
      <c r="X54" s="26">
        <f>D54+I54+N54+S54</f>
        <v>1699.1999999999998</v>
      </c>
      <c r="Y54" s="26"/>
      <c r="Z54" s="26">
        <f>H54+M54+R54+W54</f>
        <v>1053.5040000000001</v>
      </c>
      <c r="AA54" s="96"/>
      <c r="AB54" s="15">
        <v>1823.2</v>
      </c>
      <c r="AC54" s="15">
        <v>1689.2</v>
      </c>
    </row>
    <row r="55" spans="1:30" ht="12" customHeight="1" x14ac:dyDescent="0.2">
      <c r="A55" s="24" t="s">
        <v>163</v>
      </c>
      <c r="B55" s="142" t="s">
        <v>344</v>
      </c>
      <c r="C55" s="190"/>
      <c r="D55" s="25"/>
      <c r="E55" s="25"/>
      <c r="F55" s="25"/>
      <c r="G55" s="25"/>
      <c r="H55" s="26"/>
      <c r="I55" s="95"/>
      <c r="J55" s="26"/>
      <c r="K55" s="25"/>
      <c r="L55" s="25"/>
      <c r="M55" s="26"/>
      <c r="N55" s="26"/>
      <c r="O55" s="26"/>
      <c r="P55" s="25"/>
      <c r="Q55" s="25"/>
      <c r="R55" s="26"/>
      <c r="S55" s="26"/>
      <c r="T55" s="26"/>
      <c r="U55" s="25"/>
      <c r="V55" s="25"/>
      <c r="W55" s="26"/>
      <c r="X55" s="26"/>
      <c r="Y55" s="26"/>
      <c r="Z55" s="26"/>
      <c r="AA55" s="60"/>
    </row>
    <row r="56" spans="1:30" ht="12" customHeight="1" x14ac:dyDescent="0.2">
      <c r="A56" s="24"/>
      <c r="B56" s="93" t="s">
        <v>64</v>
      </c>
      <c r="C56" s="190" t="s">
        <v>38</v>
      </c>
      <c r="D56" s="25">
        <v>346</v>
      </c>
      <c r="E56" s="26">
        <f>C1</f>
        <v>42.67</v>
      </c>
      <c r="F56" s="26"/>
      <c r="G56" s="26"/>
      <c r="H56" s="26">
        <f>ROUND((D56*E56/1000),3)</f>
        <v>14.763999999999999</v>
      </c>
      <c r="I56" s="97">
        <v>431</v>
      </c>
      <c r="J56" s="26">
        <f>C1</f>
        <v>42.67</v>
      </c>
      <c r="K56" s="26"/>
      <c r="L56" s="26"/>
      <c r="M56" s="26">
        <f>ROUND((I56*J56/1000),3)</f>
        <v>18.390999999999998</v>
      </c>
      <c r="N56" s="25">
        <v>505</v>
      </c>
      <c r="O56" s="26">
        <f>D1</f>
        <v>44.63</v>
      </c>
      <c r="P56" s="26"/>
      <c r="Q56" s="26"/>
      <c r="R56" s="26">
        <f>ROUND((N56*O56/1000),3)</f>
        <v>22.538</v>
      </c>
      <c r="S56" s="25">
        <v>461.63</v>
      </c>
      <c r="T56" s="26">
        <f>D1</f>
        <v>44.63</v>
      </c>
      <c r="U56" s="26"/>
      <c r="V56" s="26"/>
      <c r="W56" s="26">
        <f>ROUND((S56*T56/1000),3)</f>
        <v>20.603000000000002</v>
      </c>
      <c r="X56" s="26">
        <f>D56+I56+N56+S56</f>
        <v>1743.63</v>
      </c>
      <c r="Y56" s="26"/>
      <c r="Z56" s="26">
        <f>H56+M56+R56+W56</f>
        <v>76.295999999999992</v>
      </c>
      <c r="AA56" s="96"/>
      <c r="AB56" s="15">
        <v>1509</v>
      </c>
      <c r="AC56" s="15">
        <v>2404</v>
      </c>
    </row>
    <row r="57" spans="1:30" ht="11.85" customHeight="1" x14ac:dyDescent="0.2">
      <c r="A57" s="24"/>
      <c r="B57" s="93" t="s">
        <v>32</v>
      </c>
      <c r="C57" s="190" t="s">
        <v>29</v>
      </c>
      <c r="D57" s="25">
        <v>418.4</v>
      </c>
      <c r="E57" s="26">
        <v>49.58</v>
      </c>
      <c r="F57" s="26">
        <v>36.93</v>
      </c>
      <c r="G57" s="224">
        <v>4697.71</v>
      </c>
      <c r="H57" s="26">
        <f>((G57*F57+E57*D57)/1000)</f>
        <v>194.23070230000002</v>
      </c>
      <c r="I57" s="97">
        <v>425.9</v>
      </c>
      <c r="J57" s="26">
        <v>49.58</v>
      </c>
      <c r="K57" s="26">
        <v>36.93</v>
      </c>
      <c r="L57" s="224">
        <v>4697.71</v>
      </c>
      <c r="M57" s="26">
        <f>((L57*K57+J57*I57)/1000)</f>
        <v>194.60255230000001</v>
      </c>
      <c r="N57" s="25">
        <v>272.89999999999998</v>
      </c>
      <c r="O57" s="26">
        <v>53.77</v>
      </c>
      <c r="P57" s="26">
        <v>36.93</v>
      </c>
      <c r="Q57" s="26">
        <v>5146.84</v>
      </c>
      <c r="R57" s="26">
        <f>((Q57*P57+O57*N57)/1000)</f>
        <v>204.74663420000002</v>
      </c>
      <c r="S57" s="25">
        <v>503.6</v>
      </c>
      <c r="T57" s="26">
        <v>53.77</v>
      </c>
      <c r="U57" s="26">
        <v>36.93</v>
      </c>
      <c r="V57" s="26">
        <v>5146.84</v>
      </c>
      <c r="W57" s="26">
        <f>((V57*U57+T57*S57)/1000)</f>
        <v>217.15137320000002</v>
      </c>
      <c r="X57" s="26">
        <f>D57+I57+N57+S57</f>
        <v>1620.7999999999997</v>
      </c>
      <c r="Y57" s="26">
        <f t="shared" ref="Y57:Y90" si="5">F57+K57+P57+U57</f>
        <v>147.72</v>
      </c>
      <c r="Z57" s="26">
        <f>H57+M57+R57+W57</f>
        <v>810.73126200000002</v>
      </c>
      <c r="AA57" s="96"/>
      <c r="AB57" s="15">
        <v>1563.1000000000001</v>
      </c>
      <c r="AC57" s="16">
        <v>1194.5</v>
      </c>
    </row>
    <row r="58" spans="1:30" ht="12" customHeight="1" x14ac:dyDescent="0.2">
      <c r="A58" s="24"/>
      <c r="B58" s="93" t="s">
        <v>43</v>
      </c>
      <c r="C58" s="190" t="s">
        <v>44</v>
      </c>
      <c r="D58" s="25">
        <f>D56+D57</f>
        <v>764.4</v>
      </c>
      <c r="E58" s="26">
        <f>H5</f>
        <v>68.56</v>
      </c>
      <c r="F58" s="26"/>
      <c r="G58" s="26"/>
      <c r="H58" s="26">
        <f>ROUND((D58*E58/1000),3)</f>
        <v>52.406999999999996</v>
      </c>
      <c r="I58" s="97">
        <f>I56+I57</f>
        <v>856.9</v>
      </c>
      <c r="J58" s="26">
        <f>H5</f>
        <v>68.56</v>
      </c>
      <c r="K58" s="26"/>
      <c r="L58" s="26"/>
      <c r="M58" s="26">
        <f>ROUND((I58*J58/1000),3)</f>
        <v>58.749000000000002</v>
      </c>
      <c r="N58" s="25">
        <f>N56+N57</f>
        <v>777.9</v>
      </c>
      <c r="O58" s="26">
        <f>I5</f>
        <v>78.45</v>
      </c>
      <c r="P58" s="26"/>
      <c r="Q58" s="26"/>
      <c r="R58" s="26">
        <f>ROUND((N58*O58/1000),3)</f>
        <v>61.026000000000003</v>
      </c>
      <c r="S58" s="25">
        <f>S56+S57</f>
        <v>965.23</v>
      </c>
      <c r="T58" s="26">
        <f>I5</f>
        <v>78.45</v>
      </c>
      <c r="U58" s="26"/>
      <c r="V58" s="26"/>
      <c r="W58" s="26">
        <f>ROUND((S58*T58/1000),3)</f>
        <v>75.721999999999994</v>
      </c>
      <c r="X58" s="26">
        <f>D58+I58+N58+S58</f>
        <v>3364.43</v>
      </c>
      <c r="Y58" s="26"/>
      <c r="Z58" s="26">
        <f>H58+M58+R58+W58</f>
        <v>247.904</v>
      </c>
      <c r="AA58" s="96"/>
      <c r="AB58" s="15">
        <v>3072.0999999999995</v>
      </c>
      <c r="AC58" s="15">
        <v>3422.5000000000005</v>
      </c>
    </row>
    <row r="59" spans="1:30" ht="12" customHeight="1" x14ac:dyDescent="0.2">
      <c r="A59" s="24" t="s">
        <v>164</v>
      </c>
      <c r="B59" s="142" t="s">
        <v>383</v>
      </c>
      <c r="C59" s="190"/>
      <c r="D59" s="25"/>
      <c r="E59" s="25"/>
      <c r="F59" s="25"/>
      <c r="G59" s="25"/>
      <c r="H59" s="26"/>
      <c r="I59" s="95"/>
      <c r="J59" s="26"/>
      <c r="K59" s="25"/>
      <c r="L59" s="25"/>
      <c r="M59" s="26"/>
      <c r="N59" s="26"/>
      <c r="O59" s="26"/>
      <c r="P59" s="25"/>
      <c r="Q59" s="25"/>
      <c r="R59" s="26"/>
      <c r="S59" s="26"/>
      <c r="T59" s="26"/>
      <c r="U59" s="25"/>
      <c r="V59" s="25"/>
      <c r="W59" s="26"/>
      <c r="X59" s="26"/>
      <c r="Y59" s="26"/>
      <c r="Z59" s="26"/>
      <c r="AA59" s="96"/>
    </row>
    <row r="60" spans="1:30" ht="12" customHeight="1" x14ac:dyDescent="0.2">
      <c r="A60" s="24"/>
      <c r="B60" s="93" t="s">
        <v>64</v>
      </c>
      <c r="C60" s="190" t="s">
        <v>38</v>
      </c>
      <c r="D60" s="25">
        <v>650</v>
      </c>
      <c r="E60" s="25">
        <f>C1</f>
        <v>42.67</v>
      </c>
      <c r="F60" s="25"/>
      <c r="G60" s="25"/>
      <c r="H60" s="26">
        <f>ROUND((D60*E60/1000),3)</f>
        <v>27.736000000000001</v>
      </c>
      <c r="I60" s="95">
        <v>1100</v>
      </c>
      <c r="J60" s="26">
        <f>C1</f>
        <v>42.67</v>
      </c>
      <c r="K60" s="25"/>
      <c r="L60" s="25"/>
      <c r="M60" s="26">
        <f>ROUND((I60*J60/1000),3)</f>
        <v>46.936999999999998</v>
      </c>
      <c r="N60" s="26">
        <v>1130</v>
      </c>
      <c r="O60" s="26">
        <f>D1</f>
        <v>44.63</v>
      </c>
      <c r="P60" s="25"/>
      <c r="Q60" s="25"/>
      <c r="R60" s="26">
        <f>ROUND((N60*O60/1000),3)</f>
        <v>50.432000000000002</v>
      </c>
      <c r="S60" s="26">
        <v>1080</v>
      </c>
      <c r="T60" s="26">
        <f>D1</f>
        <v>44.63</v>
      </c>
      <c r="U60" s="25"/>
      <c r="V60" s="25"/>
      <c r="W60" s="26">
        <f>ROUND((S60*T60/1000),3)</f>
        <v>48.2</v>
      </c>
      <c r="X60" s="26">
        <f>D60+I60+N60+S60</f>
        <v>3960</v>
      </c>
      <c r="Y60" s="26"/>
      <c r="Z60" s="26">
        <f>H60+M60+R60+W60</f>
        <v>173.30500000000001</v>
      </c>
      <c r="AA60" s="60"/>
      <c r="AB60" s="15">
        <v>3308</v>
      </c>
      <c r="AC60" s="16">
        <v>2840</v>
      </c>
    </row>
    <row r="61" spans="1:30" ht="12" customHeight="1" x14ac:dyDescent="0.2">
      <c r="A61" s="24"/>
      <c r="B61" s="93" t="s">
        <v>43</v>
      </c>
      <c r="C61" s="190" t="s">
        <v>44</v>
      </c>
      <c r="D61" s="25">
        <f>D60</f>
        <v>650</v>
      </c>
      <c r="E61" s="26">
        <f>H5</f>
        <v>68.56</v>
      </c>
      <c r="F61" s="26"/>
      <c r="G61" s="26"/>
      <c r="H61" s="26">
        <f>ROUND((D61*E61/1000),3)</f>
        <v>44.564</v>
      </c>
      <c r="I61" s="95">
        <f>I60</f>
        <v>1100</v>
      </c>
      <c r="J61" s="26">
        <f>H5</f>
        <v>68.56</v>
      </c>
      <c r="K61" s="26"/>
      <c r="L61" s="26"/>
      <c r="M61" s="26">
        <f>ROUND((I61*J61/1000),3)</f>
        <v>75.415999999999997</v>
      </c>
      <c r="N61" s="26">
        <f>N60</f>
        <v>1130</v>
      </c>
      <c r="O61" s="26">
        <f>I5</f>
        <v>78.45</v>
      </c>
      <c r="P61" s="26"/>
      <c r="Q61" s="26"/>
      <c r="R61" s="26">
        <f>ROUND((N61*O61/1000),3)</f>
        <v>88.649000000000001</v>
      </c>
      <c r="S61" s="26">
        <f>S60</f>
        <v>1080</v>
      </c>
      <c r="T61" s="26">
        <f>I5</f>
        <v>78.45</v>
      </c>
      <c r="U61" s="26"/>
      <c r="V61" s="26"/>
      <c r="W61" s="26">
        <f>ROUND((S61*T61/1000),3)</f>
        <v>84.725999999999999</v>
      </c>
      <c r="X61" s="26">
        <f>D61+I61+N61+S61</f>
        <v>3960</v>
      </c>
      <c r="Y61" s="26"/>
      <c r="Z61" s="26">
        <f>H61+M61+R61+W61</f>
        <v>293.35500000000002</v>
      </c>
      <c r="AA61" s="96"/>
      <c r="AB61" s="15">
        <v>3308</v>
      </c>
      <c r="AC61" s="15">
        <v>2840</v>
      </c>
    </row>
    <row r="62" spans="1:30" ht="12.75" customHeight="1" x14ac:dyDescent="0.2">
      <c r="A62" s="24" t="s">
        <v>165</v>
      </c>
      <c r="B62" s="142" t="s">
        <v>346</v>
      </c>
      <c r="C62" s="190"/>
      <c r="D62" s="25"/>
      <c r="E62" s="25"/>
      <c r="F62" s="25"/>
      <c r="G62" s="25"/>
      <c r="H62" s="26"/>
      <c r="I62" s="95"/>
      <c r="J62" s="26"/>
      <c r="K62" s="25"/>
      <c r="L62" s="25"/>
      <c r="M62" s="26"/>
      <c r="N62" s="26"/>
      <c r="O62" s="26"/>
      <c r="P62" s="25"/>
      <c r="Q62" s="25"/>
      <c r="R62" s="26"/>
      <c r="S62" s="26"/>
      <c r="T62" s="26"/>
      <c r="U62" s="25"/>
      <c r="V62" s="25"/>
      <c r="W62" s="26"/>
      <c r="X62" s="26"/>
      <c r="Y62" s="26"/>
      <c r="Z62" s="26"/>
      <c r="AA62" s="96"/>
    </row>
    <row r="63" spans="1:30" ht="12" customHeight="1" x14ac:dyDescent="0.2">
      <c r="A63" s="24"/>
      <c r="B63" s="93" t="s">
        <v>64</v>
      </c>
      <c r="C63" s="190" t="s">
        <v>38</v>
      </c>
      <c r="D63" s="25">
        <v>278</v>
      </c>
      <c r="E63" s="26">
        <f>C1</f>
        <v>42.67</v>
      </c>
      <c r="F63" s="26"/>
      <c r="G63" s="26"/>
      <c r="H63" s="26">
        <f>ROUND((D63*E63/1000),3)</f>
        <v>11.862</v>
      </c>
      <c r="I63" s="97">
        <v>271</v>
      </c>
      <c r="J63" s="26">
        <f>C1</f>
        <v>42.67</v>
      </c>
      <c r="K63" s="26"/>
      <c r="L63" s="26"/>
      <c r="M63" s="26">
        <f>ROUND((I63*J63/1000),3)</f>
        <v>11.564</v>
      </c>
      <c r="N63" s="25">
        <v>396</v>
      </c>
      <c r="O63" s="26">
        <f>D1</f>
        <v>44.63</v>
      </c>
      <c r="P63" s="26"/>
      <c r="Q63" s="26"/>
      <c r="R63" s="26">
        <f>ROUND((N63*O63/1000),3)</f>
        <v>17.672999999999998</v>
      </c>
      <c r="S63" s="25">
        <v>305</v>
      </c>
      <c r="T63" s="26">
        <f>D1</f>
        <v>44.63</v>
      </c>
      <c r="U63" s="26"/>
      <c r="V63" s="26"/>
      <c r="W63" s="26">
        <f>ROUND((S63*T63/1000),3)</f>
        <v>13.612</v>
      </c>
      <c r="X63" s="26">
        <f>D63+I63+N63+S63</f>
        <v>1250</v>
      </c>
      <c r="Y63" s="26"/>
      <c r="Z63" s="26">
        <f>H63+M63+R63+W63</f>
        <v>54.711000000000006</v>
      </c>
      <c r="AA63" s="60"/>
      <c r="AB63" s="15">
        <v>1835</v>
      </c>
      <c r="AC63" s="16">
        <v>1246</v>
      </c>
    </row>
    <row r="64" spans="1:30" ht="11.85" customHeight="1" x14ac:dyDescent="0.2">
      <c r="A64" s="24"/>
      <c r="B64" s="93" t="s">
        <v>32</v>
      </c>
      <c r="C64" s="190" t="s">
        <v>29</v>
      </c>
      <c r="D64" s="25">
        <v>358</v>
      </c>
      <c r="E64" s="26">
        <v>49.58</v>
      </c>
      <c r="F64" s="26">
        <v>38.5</v>
      </c>
      <c r="G64" s="224">
        <v>4697.71</v>
      </c>
      <c r="H64" s="26">
        <f>((G64*F64+E64*D64)/1000)</f>
        <v>198.61147499999998</v>
      </c>
      <c r="I64" s="95">
        <v>326</v>
      </c>
      <c r="J64" s="26">
        <v>49.58</v>
      </c>
      <c r="K64" s="26">
        <v>38.5</v>
      </c>
      <c r="L64" s="224">
        <v>4697.71</v>
      </c>
      <c r="M64" s="26">
        <f>((L64*K64+J64*I64)/1000)</f>
        <v>197.02491499999999</v>
      </c>
      <c r="N64" s="26">
        <v>291</v>
      </c>
      <c r="O64" s="26">
        <v>53.77</v>
      </c>
      <c r="P64" s="26">
        <v>38.5</v>
      </c>
      <c r="Q64" s="26">
        <v>5146.84</v>
      </c>
      <c r="R64" s="26">
        <f>((Q64*P64+O64*N64)/1000)</f>
        <v>213.80041</v>
      </c>
      <c r="S64" s="26">
        <v>339</v>
      </c>
      <c r="T64" s="26">
        <v>53.77</v>
      </c>
      <c r="U64" s="26">
        <v>38.5</v>
      </c>
      <c r="V64" s="26">
        <v>5146.84</v>
      </c>
      <c r="W64" s="26">
        <f>((V64*U64+T64*S64)/1000)</f>
        <v>216.38137</v>
      </c>
      <c r="X64" s="26">
        <f>D64+I64+N64+S64</f>
        <v>1314</v>
      </c>
      <c r="Y64" s="26">
        <f t="shared" si="5"/>
        <v>154</v>
      </c>
      <c r="Z64" s="26">
        <f>H64+M64+R64+W64</f>
        <v>825.81817000000001</v>
      </c>
      <c r="AA64" s="96"/>
      <c r="AB64" s="15">
        <v>1716.6000000000001</v>
      </c>
      <c r="AC64" s="16">
        <v>1237.5</v>
      </c>
    </row>
    <row r="65" spans="1:29" ht="13.5" customHeight="1" x14ac:dyDescent="0.2">
      <c r="A65" s="24"/>
      <c r="B65" s="93" t="s">
        <v>43</v>
      </c>
      <c r="C65" s="190" t="s">
        <v>44</v>
      </c>
      <c r="D65" s="25">
        <f>D63+D64</f>
        <v>636</v>
      </c>
      <c r="E65" s="25">
        <f>H5</f>
        <v>68.56</v>
      </c>
      <c r="F65" s="25"/>
      <c r="G65" s="25"/>
      <c r="H65" s="26">
        <f>ROUND((D65*E65/1000),3)</f>
        <v>43.603999999999999</v>
      </c>
      <c r="I65" s="97">
        <f>I63+I64</f>
        <v>597</v>
      </c>
      <c r="J65" s="25">
        <f>H5</f>
        <v>68.56</v>
      </c>
      <c r="K65" s="25"/>
      <c r="L65" s="25"/>
      <c r="M65" s="26">
        <f>ROUND((I65*J65/1000),3)</f>
        <v>40.93</v>
      </c>
      <c r="N65" s="25">
        <f>N63+N64</f>
        <v>687</v>
      </c>
      <c r="O65" s="25">
        <f>I5</f>
        <v>78.45</v>
      </c>
      <c r="P65" s="25"/>
      <c r="Q65" s="25"/>
      <c r="R65" s="26">
        <f>ROUND((N65*O65/1000),3)</f>
        <v>53.895000000000003</v>
      </c>
      <c r="S65" s="25">
        <f>S63+S64</f>
        <v>644</v>
      </c>
      <c r="T65" s="25">
        <f>I5</f>
        <v>78.45</v>
      </c>
      <c r="U65" s="25"/>
      <c r="V65" s="25"/>
      <c r="W65" s="26">
        <f>ROUND((S65*T65/1000),3)</f>
        <v>50.521999999999998</v>
      </c>
      <c r="X65" s="26">
        <f>D65+I65+N65+S65</f>
        <v>2564</v>
      </c>
      <c r="Y65" s="26"/>
      <c r="Z65" s="26">
        <f>H65+M65+R65+W65</f>
        <v>188.95099999999999</v>
      </c>
      <c r="AA65" s="96"/>
      <c r="AB65" s="15">
        <v>3551.6000000000004</v>
      </c>
      <c r="AC65" s="15">
        <v>2483.5</v>
      </c>
    </row>
    <row r="66" spans="1:29" ht="12" customHeight="1" x14ac:dyDescent="0.2">
      <c r="A66" s="24" t="s">
        <v>166</v>
      </c>
      <c r="B66" s="142" t="s">
        <v>371</v>
      </c>
      <c r="C66" s="190"/>
      <c r="D66" s="25"/>
      <c r="E66" s="25"/>
      <c r="F66" s="25"/>
      <c r="G66" s="25"/>
      <c r="H66" s="26"/>
      <c r="I66" s="95"/>
      <c r="J66" s="26"/>
      <c r="K66" s="25"/>
      <c r="L66" s="25"/>
      <c r="M66" s="26"/>
      <c r="N66" s="26"/>
      <c r="O66" s="26"/>
      <c r="P66" s="25"/>
      <c r="Q66" s="25"/>
      <c r="R66" s="26"/>
      <c r="S66" s="26"/>
      <c r="T66" s="26"/>
      <c r="U66" s="25"/>
      <c r="V66" s="25"/>
      <c r="W66" s="26"/>
      <c r="X66" s="26"/>
      <c r="Y66" s="26"/>
      <c r="Z66" s="26"/>
      <c r="AA66" s="96"/>
    </row>
    <row r="67" spans="1:29" ht="12" customHeight="1" x14ac:dyDescent="0.2">
      <c r="A67" s="24"/>
      <c r="B67" s="93" t="s">
        <v>64</v>
      </c>
      <c r="C67" s="190" t="s">
        <v>45</v>
      </c>
      <c r="D67" s="25">
        <v>120</v>
      </c>
      <c r="E67" s="25">
        <v>12.9</v>
      </c>
      <c r="F67" s="25"/>
      <c r="G67" s="25"/>
      <c r="H67" s="26">
        <f>ROUND((D67*E67/1000),3)</f>
        <v>1.548</v>
      </c>
      <c r="I67" s="95">
        <v>128</v>
      </c>
      <c r="J67" s="26">
        <v>12.9</v>
      </c>
      <c r="K67" s="25"/>
      <c r="L67" s="25"/>
      <c r="M67" s="26">
        <f>ROUND((I67*J67/1000),3)</f>
        <v>1.651</v>
      </c>
      <c r="N67" s="26">
        <v>168</v>
      </c>
      <c r="O67" s="26">
        <v>12.9</v>
      </c>
      <c r="P67" s="25"/>
      <c r="Q67" s="25"/>
      <c r="R67" s="26">
        <f>ROUND((N67*O67/1000),3)</f>
        <v>2.1669999999999998</v>
      </c>
      <c r="S67" s="26">
        <v>102</v>
      </c>
      <c r="T67" s="26">
        <v>14.75</v>
      </c>
      <c r="U67" s="25"/>
      <c r="V67" s="25"/>
      <c r="W67" s="26">
        <f>ROUND((S67*T67/1000),3)</f>
        <v>1.5049999999999999</v>
      </c>
      <c r="X67" s="26">
        <f>D67+I67+N67+S67</f>
        <v>518</v>
      </c>
      <c r="Y67" s="26"/>
      <c r="Z67" s="26">
        <f>H67+M67+R67+W67</f>
        <v>6.8709999999999996</v>
      </c>
      <c r="AA67" s="96"/>
      <c r="AB67" s="15">
        <v>501</v>
      </c>
      <c r="AC67" s="15">
        <v>528</v>
      </c>
    </row>
    <row r="68" spans="1:29" ht="12.75" customHeight="1" x14ac:dyDescent="0.2">
      <c r="A68" s="24"/>
      <c r="B68" s="93" t="s">
        <v>43</v>
      </c>
      <c r="C68" s="190" t="s">
        <v>45</v>
      </c>
      <c r="D68" s="25">
        <f>D67</f>
        <v>120</v>
      </c>
      <c r="E68" s="25">
        <f>H6</f>
        <v>17.98</v>
      </c>
      <c r="F68" s="25"/>
      <c r="G68" s="25"/>
      <c r="H68" s="26">
        <f>ROUND((D68*E68/1000),3)</f>
        <v>2.1579999999999999</v>
      </c>
      <c r="I68" s="97">
        <f>I67</f>
        <v>128</v>
      </c>
      <c r="J68" s="26">
        <f>H6</f>
        <v>17.98</v>
      </c>
      <c r="K68" s="25"/>
      <c r="L68" s="25"/>
      <c r="M68" s="26">
        <f>ROUND((I68*J68/1000),3)</f>
        <v>2.3010000000000002</v>
      </c>
      <c r="N68" s="25">
        <f>N67</f>
        <v>168</v>
      </c>
      <c r="O68" s="26">
        <f>I6</f>
        <v>18.7</v>
      </c>
      <c r="P68" s="25"/>
      <c r="Q68" s="25"/>
      <c r="R68" s="26">
        <f>ROUND((N68*O68/1000),3)</f>
        <v>3.1419999999999999</v>
      </c>
      <c r="S68" s="25">
        <f>S67</f>
        <v>102</v>
      </c>
      <c r="T68" s="26">
        <f>I6</f>
        <v>18.7</v>
      </c>
      <c r="U68" s="25"/>
      <c r="V68" s="25"/>
      <c r="W68" s="26">
        <f>ROUND((S68*T68/1000),3)</f>
        <v>1.907</v>
      </c>
      <c r="X68" s="26">
        <f>D68+I68+N68+S68</f>
        <v>518</v>
      </c>
      <c r="Y68" s="26"/>
      <c r="Z68" s="26">
        <f>H68+M68+R68+W68</f>
        <v>9.5079999999999991</v>
      </c>
      <c r="AA68" s="96"/>
      <c r="AB68" s="15">
        <v>501</v>
      </c>
      <c r="AC68" s="15">
        <v>528</v>
      </c>
    </row>
    <row r="69" spans="1:29" ht="12" customHeight="1" x14ac:dyDescent="0.2">
      <c r="A69" s="24" t="s">
        <v>167</v>
      </c>
      <c r="B69" s="142" t="s">
        <v>347</v>
      </c>
      <c r="C69" s="190"/>
      <c r="D69" s="25"/>
      <c r="E69" s="25"/>
      <c r="F69" s="25"/>
      <c r="G69" s="25"/>
      <c r="H69" s="26"/>
      <c r="I69" s="95"/>
      <c r="J69" s="26"/>
      <c r="K69" s="25"/>
      <c r="L69" s="25"/>
      <c r="M69" s="26"/>
      <c r="N69" s="26"/>
      <c r="O69" s="26"/>
      <c r="P69" s="25"/>
      <c r="Q69" s="25"/>
      <c r="R69" s="26"/>
      <c r="S69" s="26"/>
      <c r="T69" s="26"/>
      <c r="U69" s="25"/>
      <c r="V69" s="25"/>
      <c r="W69" s="26"/>
      <c r="X69" s="26"/>
      <c r="Y69" s="26"/>
      <c r="Z69" s="26"/>
      <c r="AA69" s="96"/>
    </row>
    <row r="70" spans="1:29" ht="12" customHeight="1" x14ac:dyDescent="0.2">
      <c r="A70" s="24"/>
      <c r="B70" s="93" t="s">
        <v>64</v>
      </c>
      <c r="C70" s="190" t="s">
        <v>68</v>
      </c>
      <c r="D70" s="25">
        <v>276</v>
      </c>
      <c r="E70" s="25">
        <f>C2</f>
        <v>43.81</v>
      </c>
      <c r="F70" s="25"/>
      <c r="G70" s="25"/>
      <c r="H70" s="26">
        <f>ROUND((D70*E70/1000),3)</f>
        <v>12.092000000000001</v>
      </c>
      <c r="I70" s="95">
        <v>232</v>
      </c>
      <c r="J70" s="26">
        <f>C2</f>
        <v>43.81</v>
      </c>
      <c r="K70" s="25"/>
      <c r="L70" s="25"/>
      <c r="M70" s="26">
        <f>ROUND((I70*J70/1000),3)</f>
        <v>10.164</v>
      </c>
      <c r="N70" s="26">
        <v>398</v>
      </c>
      <c r="O70" s="26">
        <f>D2</f>
        <v>51.02</v>
      </c>
      <c r="P70" s="25"/>
      <c r="Q70" s="25"/>
      <c r="R70" s="26">
        <f>ROUND((N70*O70/1000),3)</f>
        <v>20.306000000000001</v>
      </c>
      <c r="S70" s="26">
        <v>265</v>
      </c>
      <c r="T70" s="26">
        <f>D2</f>
        <v>51.02</v>
      </c>
      <c r="U70" s="25"/>
      <c r="V70" s="25"/>
      <c r="W70" s="26">
        <f>ROUND((S70*T70/1000),3)</f>
        <v>13.52</v>
      </c>
      <c r="X70" s="26">
        <f>D70+I70+N70+S70</f>
        <v>1171</v>
      </c>
      <c r="Y70" s="26"/>
      <c r="Z70" s="26">
        <f>H70+M70+R70+W70</f>
        <v>56.081999999999994</v>
      </c>
      <c r="AA70" s="96"/>
      <c r="AB70" s="15">
        <v>1036</v>
      </c>
      <c r="AC70" s="15">
        <v>1086</v>
      </c>
    </row>
    <row r="71" spans="1:29" ht="12" customHeight="1" x14ac:dyDescent="0.2">
      <c r="A71" s="24"/>
      <c r="B71" s="93" t="s">
        <v>43</v>
      </c>
      <c r="C71" s="190" t="s">
        <v>68</v>
      </c>
      <c r="D71" s="25">
        <f>D70</f>
        <v>276</v>
      </c>
      <c r="E71" s="25">
        <f>H2</f>
        <v>42.68</v>
      </c>
      <c r="F71" s="25"/>
      <c r="G71" s="25"/>
      <c r="H71" s="26">
        <f>ROUND((D71*E71/1000),3)</f>
        <v>11.78</v>
      </c>
      <c r="I71" s="95">
        <f>I70</f>
        <v>232</v>
      </c>
      <c r="J71" s="26">
        <f>H2</f>
        <v>42.68</v>
      </c>
      <c r="K71" s="25"/>
      <c r="L71" s="25"/>
      <c r="M71" s="26">
        <f>ROUND((I71*J71/1000),3)</f>
        <v>9.9019999999999992</v>
      </c>
      <c r="N71" s="26">
        <f>N70</f>
        <v>398</v>
      </c>
      <c r="O71" s="26">
        <f>I2</f>
        <v>43.26</v>
      </c>
      <c r="P71" s="25"/>
      <c r="Q71" s="25"/>
      <c r="R71" s="26">
        <f>ROUND((N71*O71/1000),3)</f>
        <v>17.216999999999999</v>
      </c>
      <c r="S71" s="26">
        <f>S70</f>
        <v>265</v>
      </c>
      <c r="T71" s="26">
        <f>I2</f>
        <v>43.26</v>
      </c>
      <c r="U71" s="25"/>
      <c r="V71" s="25"/>
      <c r="W71" s="26">
        <f>ROUND((S71*T71/1000),3)</f>
        <v>11.464</v>
      </c>
      <c r="X71" s="26">
        <f>D71+I71+N71+S71</f>
        <v>1171</v>
      </c>
      <c r="Y71" s="26"/>
      <c r="Z71" s="26">
        <f>H71+M71+R71+W71</f>
        <v>50.363</v>
      </c>
      <c r="AA71" s="96"/>
      <c r="AB71" s="15">
        <v>1036</v>
      </c>
      <c r="AC71" s="15">
        <v>1086</v>
      </c>
    </row>
    <row r="72" spans="1:29" ht="12" customHeight="1" x14ac:dyDescent="0.2">
      <c r="A72" s="24" t="s">
        <v>168</v>
      </c>
      <c r="B72" s="142" t="s">
        <v>348</v>
      </c>
      <c r="C72" s="190"/>
      <c r="D72" s="25"/>
      <c r="E72" s="25"/>
      <c r="F72" s="25"/>
      <c r="G72" s="25"/>
      <c r="H72" s="26"/>
      <c r="I72" s="95"/>
      <c r="J72" s="26"/>
      <c r="K72" s="25"/>
      <c r="L72" s="25"/>
      <c r="M72" s="26"/>
      <c r="N72" s="26"/>
      <c r="O72" s="26"/>
      <c r="P72" s="25"/>
      <c r="Q72" s="25"/>
      <c r="R72" s="26"/>
      <c r="S72" s="26"/>
      <c r="T72" s="26"/>
      <c r="U72" s="25"/>
      <c r="V72" s="25"/>
      <c r="W72" s="26"/>
      <c r="X72" s="26"/>
      <c r="Y72" s="26"/>
      <c r="Z72" s="26"/>
      <c r="AA72" s="60"/>
    </row>
    <row r="73" spans="1:29" ht="12" customHeight="1" x14ac:dyDescent="0.2">
      <c r="A73" s="24"/>
      <c r="B73" s="93" t="s">
        <v>64</v>
      </c>
      <c r="C73" s="190" t="s">
        <v>38</v>
      </c>
      <c r="D73" s="25">
        <v>192</v>
      </c>
      <c r="E73" s="25">
        <f>C1</f>
        <v>42.67</v>
      </c>
      <c r="F73" s="25"/>
      <c r="G73" s="25"/>
      <c r="H73" s="26">
        <f>ROUND((D73*E73/1000),3)</f>
        <v>8.1929999999999996</v>
      </c>
      <c r="I73" s="95">
        <v>258</v>
      </c>
      <c r="J73" s="25">
        <f>C1</f>
        <v>42.67</v>
      </c>
      <c r="K73" s="25"/>
      <c r="L73" s="25"/>
      <c r="M73" s="26">
        <f>ROUND((I73*J73/1000),3)</f>
        <v>11.009</v>
      </c>
      <c r="N73" s="26">
        <v>199</v>
      </c>
      <c r="O73" s="26">
        <f>D1</f>
        <v>44.63</v>
      </c>
      <c r="P73" s="25"/>
      <c r="Q73" s="25"/>
      <c r="R73" s="26">
        <f>ROUND((N73*O73/1000),3)</f>
        <v>8.8810000000000002</v>
      </c>
      <c r="S73" s="26">
        <v>266</v>
      </c>
      <c r="T73" s="26">
        <f>D1</f>
        <v>44.63</v>
      </c>
      <c r="U73" s="25"/>
      <c r="V73" s="25"/>
      <c r="W73" s="26">
        <f>ROUND((S73*T73/1000),3)</f>
        <v>11.872</v>
      </c>
      <c r="X73" s="26">
        <f>D73+I73+N73+S73</f>
        <v>915</v>
      </c>
      <c r="Y73" s="26"/>
      <c r="Z73" s="26">
        <f>H73+M73+R73+W73</f>
        <v>39.954999999999998</v>
      </c>
      <c r="AA73" s="96"/>
      <c r="AB73" s="15">
        <v>367</v>
      </c>
      <c r="AC73" s="15">
        <v>915</v>
      </c>
    </row>
    <row r="74" spans="1:29" ht="12" customHeight="1" x14ac:dyDescent="0.2">
      <c r="A74" s="24"/>
      <c r="B74" s="140" t="s">
        <v>92</v>
      </c>
      <c r="C74" s="190" t="s">
        <v>44</v>
      </c>
      <c r="D74" s="25">
        <v>4.2</v>
      </c>
      <c r="E74" s="26">
        <f>C8</f>
        <v>410.28</v>
      </c>
      <c r="F74" s="26"/>
      <c r="G74" s="26"/>
      <c r="H74" s="26">
        <f>ROUND((D74*E74/1000),3)</f>
        <v>1.7230000000000001</v>
      </c>
      <c r="I74" s="95">
        <v>4.2</v>
      </c>
      <c r="J74" s="26">
        <f>C8</f>
        <v>410.28</v>
      </c>
      <c r="K74" s="26"/>
      <c r="L74" s="26"/>
      <c r="M74" s="26">
        <f>ROUND((I74*J74/1000),3)</f>
        <v>1.7230000000000001</v>
      </c>
      <c r="N74" s="26">
        <v>4.2</v>
      </c>
      <c r="O74" s="26">
        <f>D8</f>
        <v>410.28</v>
      </c>
      <c r="P74" s="26"/>
      <c r="Q74" s="26"/>
      <c r="R74" s="26">
        <f>ROUND((N74*O74/1000),3)</f>
        <v>1.7230000000000001</v>
      </c>
      <c r="S74" s="26">
        <v>25.3</v>
      </c>
      <c r="T74" s="26">
        <f>D8</f>
        <v>410.28</v>
      </c>
      <c r="U74" s="26"/>
      <c r="V74" s="26"/>
      <c r="W74" s="26">
        <f>ROUND((S74*T74/1000),3)</f>
        <v>10.38</v>
      </c>
      <c r="X74" s="26">
        <f>D74+I74+N74+S74</f>
        <v>37.900000000000006</v>
      </c>
      <c r="Y74" s="26"/>
      <c r="Z74" s="26">
        <f>H74+M74+R74+W74</f>
        <v>15.549000000000001</v>
      </c>
      <c r="AA74" s="96"/>
      <c r="AB74" s="15">
        <v>101.2</v>
      </c>
      <c r="AC74" s="15">
        <v>101.2</v>
      </c>
    </row>
    <row r="75" spans="1:29" ht="12" customHeight="1" x14ac:dyDescent="0.2">
      <c r="A75" s="24" t="s">
        <v>169</v>
      </c>
      <c r="B75" s="142" t="s">
        <v>349</v>
      </c>
      <c r="C75" s="190"/>
      <c r="D75" s="25"/>
      <c r="E75" s="25"/>
      <c r="F75" s="25"/>
      <c r="G75" s="25"/>
      <c r="H75" s="26"/>
      <c r="I75" s="95"/>
      <c r="J75" s="26"/>
      <c r="K75" s="25"/>
      <c r="L75" s="25"/>
      <c r="M75" s="26"/>
      <c r="N75" s="26"/>
      <c r="O75" s="26"/>
      <c r="P75" s="25"/>
      <c r="Q75" s="25"/>
      <c r="R75" s="26"/>
      <c r="S75" s="26"/>
      <c r="T75" s="26"/>
      <c r="U75" s="25"/>
      <c r="V75" s="25"/>
      <c r="W75" s="26"/>
      <c r="X75" s="26"/>
      <c r="Y75" s="26"/>
      <c r="Z75" s="26"/>
      <c r="AA75" s="96"/>
    </row>
    <row r="76" spans="1:29" ht="12" customHeight="1" x14ac:dyDescent="0.2">
      <c r="A76" s="24"/>
      <c r="B76" s="93" t="s">
        <v>64</v>
      </c>
      <c r="C76" s="190" t="s">
        <v>66</v>
      </c>
      <c r="D76" s="25">
        <v>127</v>
      </c>
      <c r="E76" s="25">
        <f>C5</f>
        <v>40.72</v>
      </c>
      <c r="F76" s="25"/>
      <c r="G76" s="25"/>
      <c r="H76" s="26">
        <f>ROUND((D76*E76/1000),3)</f>
        <v>5.1710000000000003</v>
      </c>
      <c r="I76" s="95">
        <v>149</v>
      </c>
      <c r="J76" s="26">
        <f>C5</f>
        <v>40.72</v>
      </c>
      <c r="K76" s="25"/>
      <c r="L76" s="25"/>
      <c r="M76" s="26">
        <f>ROUND((I76*J76/1000),3)</f>
        <v>6.0670000000000002</v>
      </c>
      <c r="N76" s="26">
        <v>178</v>
      </c>
      <c r="O76" s="26">
        <f>D5</f>
        <v>41.29</v>
      </c>
      <c r="P76" s="25"/>
      <c r="Q76" s="25"/>
      <c r="R76" s="26">
        <f>ROUND((N76*O76/1000),3)</f>
        <v>7.35</v>
      </c>
      <c r="S76" s="26">
        <v>158</v>
      </c>
      <c r="T76" s="26">
        <f>D5</f>
        <v>41.29</v>
      </c>
      <c r="U76" s="25"/>
      <c r="V76" s="25"/>
      <c r="W76" s="26">
        <f>ROUND((S76*T76/1000),3)</f>
        <v>6.524</v>
      </c>
      <c r="X76" s="26">
        <f>D76+I76+N76+S76</f>
        <v>612</v>
      </c>
      <c r="Y76" s="26"/>
      <c r="Z76" s="26">
        <f>H76+M76+R76+W76</f>
        <v>25.112000000000002</v>
      </c>
      <c r="AA76" s="96"/>
      <c r="AB76" s="15">
        <v>622</v>
      </c>
      <c r="AC76" s="16">
        <v>503</v>
      </c>
    </row>
    <row r="77" spans="1:29" ht="12" customHeight="1" x14ac:dyDescent="0.2">
      <c r="A77" s="24"/>
      <c r="B77" s="140" t="s">
        <v>92</v>
      </c>
      <c r="C77" s="190" t="s">
        <v>44</v>
      </c>
      <c r="D77" s="25">
        <v>16.8</v>
      </c>
      <c r="E77" s="26">
        <f>M8</f>
        <v>870</v>
      </c>
      <c r="F77" s="26"/>
      <c r="G77" s="26"/>
      <c r="H77" s="26">
        <f>ROUND((D77*E77/1000),3)</f>
        <v>14.616</v>
      </c>
      <c r="I77" s="95">
        <v>49</v>
      </c>
      <c r="J77" s="26">
        <f>M8</f>
        <v>870</v>
      </c>
      <c r="K77" s="26"/>
      <c r="L77" s="26"/>
      <c r="M77" s="26">
        <f>ROUND((I77*J77/1000),3)</f>
        <v>42.63</v>
      </c>
      <c r="N77" s="26">
        <v>60.9</v>
      </c>
      <c r="O77" s="26">
        <f>N8</f>
        <v>870</v>
      </c>
      <c r="P77" s="26"/>
      <c r="Q77" s="26"/>
      <c r="R77" s="26">
        <f>ROUND((N77*O77/1000),3)</f>
        <v>52.982999999999997</v>
      </c>
      <c r="S77" s="26">
        <v>33.6</v>
      </c>
      <c r="T77" s="26">
        <f>N8</f>
        <v>870</v>
      </c>
      <c r="U77" s="26"/>
      <c r="V77" s="26"/>
      <c r="W77" s="26">
        <f>ROUND((S77*T77/1000),3)</f>
        <v>29.231999999999999</v>
      </c>
      <c r="X77" s="26">
        <f>D77+I77+N77+S77</f>
        <v>160.29999999999998</v>
      </c>
      <c r="Y77" s="26"/>
      <c r="Z77" s="26">
        <f>H77+M77+R77+W77</f>
        <v>139.46100000000001</v>
      </c>
      <c r="AA77" s="96"/>
      <c r="AB77" s="15">
        <v>160.30000000000001</v>
      </c>
      <c r="AC77" s="15">
        <v>166</v>
      </c>
    </row>
    <row r="78" spans="1:29" ht="12" customHeight="1" x14ac:dyDescent="0.2">
      <c r="A78" s="24" t="s">
        <v>170</v>
      </c>
      <c r="B78" s="142" t="s">
        <v>350</v>
      </c>
      <c r="C78" s="190"/>
      <c r="D78" s="25"/>
      <c r="E78" s="25"/>
      <c r="F78" s="25"/>
      <c r="G78" s="25"/>
      <c r="H78" s="26"/>
      <c r="I78" s="95"/>
      <c r="J78" s="26"/>
      <c r="K78" s="25"/>
      <c r="L78" s="25"/>
      <c r="M78" s="26"/>
      <c r="N78" s="26"/>
      <c r="O78" s="26"/>
      <c r="P78" s="25"/>
      <c r="Q78" s="25"/>
      <c r="R78" s="26"/>
      <c r="S78" s="26"/>
      <c r="T78" s="26"/>
      <c r="U78" s="25"/>
      <c r="V78" s="25"/>
      <c r="W78" s="26"/>
      <c r="X78" s="26"/>
      <c r="Y78" s="26"/>
      <c r="Z78" s="26"/>
      <c r="AA78" s="96"/>
    </row>
    <row r="79" spans="1:29" ht="12" customHeight="1" x14ac:dyDescent="0.2">
      <c r="A79" s="24"/>
      <c r="B79" s="93" t="s">
        <v>64</v>
      </c>
      <c r="C79" s="190" t="s">
        <v>41</v>
      </c>
      <c r="D79" s="25">
        <v>97</v>
      </c>
      <c r="E79" s="25">
        <f>C2</f>
        <v>43.81</v>
      </c>
      <c r="F79" s="25"/>
      <c r="G79" s="25"/>
      <c r="H79" s="26">
        <f>ROUND((D79*E79/1000),3)</f>
        <v>4.25</v>
      </c>
      <c r="I79" s="95">
        <v>131</v>
      </c>
      <c r="J79" s="26">
        <f>C2</f>
        <v>43.81</v>
      </c>
      <c r="K79" s="25"/>
      <c r="L79" s="25"/>
      <c r="M79" s="26">
        <f>ROUND((I79*J79/1000),3)</f>
        <v>5.7389999999999999</v>
      </c>
      <c r="N79" s="26">
        <v>85</v>
      </c>
      <c r="O79" s="26">
        <f>D2</f>
        <v>51.02</v>
      </c>
      <c r="P79" s="25"/>
      <c r="Q79" s="25"/>
      <c r="R79" s="26">
        <f>ROUND((N79*O79/1000),3)</f>
        <v>4.3369999999999997</v>
      </c>
      <c r="S79" s="26">
        <v>110</v>
      </c>
      <c r="T79" s="26">
        <f>D2</f>
        <v>51.02</v>
      </c>
      <c r="U79" s="25"/>
      <c r="V79" s="25"/>
      <c r="W79" s="26">
        <f>ROUND((S79*T79/1000),3)</f>
        <v>5.6120000000000001</v>
      </c>
      <c r="X79" s="26">
        <f>D79+I79+N79+S79</f>
        <v>423</v>
      </c>
      <c r="Y79" s="26"/>
      <c r="Z79" s="26">
        <f>H79+M79+R79+W79</f>
        <v>19.938000000000002</v>
      </c>
      <c r="AA79" s="96"/>
      <c r="AB79" s="15">
        <v>724</v>
      </c>
      <c r="AC79" s="16">
        <v>413</v>
      </c>
    </row>
    <row r="80" spans="1:29" ht="11.85" customHeight="1" x14ac:dyDescent="0.2">
      <c r="A80" s="24"/>
      <c r="B80" s="93" t="s">
        <v>32</v>
      </c>
      <c r="C80" s="190" t="s">
        <v>29</v>
      </c>
      <c r="D80" s="25">
        <v>55.2</v>
      </c>
      <c r="E80" s="26">
        <v>53.45</v>
      </c>
      <c r="F80" s="26">
        <v>2.2000000000000002</v>
      </c>
      <c r="G80" s="26">
        <v>2082.7600000000002</v>
      </c>
      <c r="H80" s="26">
        <f>((G80*F80+E80*D80)/1000)</f>
        <v>7.5325120000000014</v>
      </c>
      <c r="I80" s="95">
        <v>49.5</v>
      </c>
      <c r="J80" s="26">
        <v>53.45</v>
      </c>
      <c r="K80" s="26">
        <v>2.2000000000000002</v>
      </c>
      <c r="L80" s="26">
        <v>2082.7600000000002</v>
      </c>
      <c r="M80" s="26">
        <f>((L80*K80+J80*I80)/1000)</f>
        <v>7.2278470000000015</v>
      </c>
      <c r="N80" s="26">
        <v>55.3</v>
      </c>
      <c r="O80" s="26">
        <v>59.18</v>
      </c>
      <c r="P80" s="26">
        <v>2.2000000000000002</v>
      </c>
      <c r="Q80" s="26">
        <v>2693.2</v>
      </c>
      <c r="R80" s="26">
        <f>((Q80*P80+O80*N80)/1000)</f>
        <v>9.1976940000000003</v>
      </c>
      <c r="S80" s="26">
        <v>54.6</v>
      </c>
      <c r="T80" s="26">
        <v>59.18</v>
      </c>
      <c r="U80" s="26">
        <v>2.2000000000000002</v>
      </c>
      <c r="V80" s="26">
        <v>2693.12</v>
      </c>
      <c r="W80" s="26">
        <f>((V80*U80+T80*S80)/1000)</f>
        <v>9.156092000000001</v>
      </c>
      <c r="X80" s="26">
        <f>D80+I80+N80+S80</f>
        <v>214.6</v>
      </c>
      <c r="Y80" s="26">
        <f t="shared" si="5"/>
        <v>8.8000000000000007</v>
      </c>
      <c r="Z80" s="26">
        <f>H80+M80+R80+W80</f>
        <v>33.114145000000008</v>
      </c>
      <c r="AA80" s="96"/>
      <c r="AB80" s="15">
        <v>196.94</v>
      </c>
      <c r="AC80" s="15">
        <v>220.5</v>
      </c>
    </row>
    <row r="81" spans="1:31" ht="11.85" customHeight="1" x14ac:dyDescent="0.2">
      <c r="A81" s="24"/>
      <c r="B81" s="140" t="s">
        <v>92</v>
      </c>
      <c r="C81" s="190" t="s">
        <v>41</v>
      </c>
      <c r="D81" s="25">
        <v>2.95</v>
      </c>
      <c r="E81" s="26">
        <f>H8</f>
        <v>620</v>
      </c>
      <c r="F81" s="26"/>
      <c r="G81" s="26"/>
      <c r="H81" s="26">
        <f>ROUND((D81*E81/1000),3)</f>
        <v>1.829</v>
      </c>
      <c r="I81" s="95">
        <v>2.95</v>
      </c>
      <c r="J81" s="26">
        <f>H8</f>
        <v>620</v>
      </c>
      <c r="K81" s="26"/>
      <c r="L81" s="26"/>
      <c r="M81" s="26">
        <f>ROUND((I81*J81/1000),3)</f>
        <v>1.829</v>
      </c>
      <c r="N81" s="26">
        <v>2.95</v>
      </c>
      <c r="O81" s="26">
        <f>I8</f>
        <v>620</v>
      </c>
      <c r="P81" s="26"/>
      <c r="Q81" s="26"/>
      <c r="R81" s="26">
        <f>ROUND((N81*O81/1000),3)</f>
        <v>1.829</v>
      </c>
      <c r="S81" s="26">
        <v>2.95</v>
      </c>
      <c r="T81" s="26">
        <f>I8</f>
        <v>620</v>
      </c>
      <c r="U81" s="26"/>
      <c r="V81" s="26"/>
      <c r="W81" s="26">
        <f>ROUND((S81*T81/1000),3)</f>
        <v>1.829</v>
      </c>
      <c r="X81" s="26">
        <f>D81+I81+N81+S81</f>
        <v>11.8</v>
      </c>
      <c r="Y81" s="26"/>
      <c r="Z81" s="26">
        <f>H81+M81+R81+W81</f>
        <v>7.3159999999999998</v>
      </c>
      <c r="AA81" s="96"/>
      <c r="AB81" s="15">
        <v>11.8</v>
      </c>
      <c r="AC81" s="15">
        <v>11.8</v>
      </c>
    </row>
    <row r="82" spans="1:31" ht="12" customHeight="1" x14ac:dyDescent="0.2">
      <c r="A82" s="24" t="s">
        <v>171</v>
      </c>
      <c r="B82" s="94" t="s">
        <v>351</v>
      </c>
      <c r="C82" s="190"/>
      <c r="D82" s="25"/>
      <c r="E82" s="25"/>
      <c r="F82" s="25"/>
      <c r="G82" s="25"/>
      <c r="H82" s="26"/>
      <c r="I82" s="95"/>
      <c r="J82" s="26"/>
      <c r="K82" s="25"/>
      <c r="L82" s="25"/>
      <c r="M82" s="26"/>
      <c r="N82" s="26"/>
      <c r="O82" s="26"/>
      <c r="P82" s="25"/>
      <c r="Q82" s="25"/>
      <c r="R82" s="26"/>
      <c r="S82" s="26"/>
      <c r="T82" s="26"/>
      <c r="U82" s="25"/>
      <c r="V82" s="25"/>
      <c r="W82" s="26"/>
      <c r="X82" s="26"/>
      <c r="Y82" s="26"/>
      <c r="Z82" s="26"/>
      <c r="AA82" s="96"/>
    </row>
    <row r="83" spans="1:31" ht="12" customHeight="1" x14ac:dyDescent="0.2">
      <c r="A83" s="24"/>
      <c r="B83" s="93" t="s">
        <v>64</v>
      </c>
      <c r="C83" s="190" t="s">
        <v>38</v>
      </c>
      <c r="D83" s="25">
        <v>53</v>
      </c>
      <c r="E83" s="26">
        <f>C1</f>
        <v>42.67</v>
      </c>
      <c r="F83" s="26"/>
      <c r="G83" s="26"/>
      <c r="H83" s="26">
        <f>ROUND((D83*E83/1000),3)</f>
        <v>2.262</v>
      </c>
      <c r="I83" s="95">
        <v>52</v>
      </c>
      <c r="J83" s="26">
        <f>C1</f>
        <v>42.67</v>
      </c>
      <c r="K83" s="26"/>
      <c r="L83" s="26"/>
      <c r="M83" s="26">
        <f>ROUND((I83*J83/1000),3)</f>
        <v>2.2189999999999999</v>
      </c>
      <c r="N83" s="26">
        <v>51</v>
      </c>
      <c r="O83" s="26">
        <f>D1</f>
        <v>44.63</v>
      </c>
      <c r="P83" s="26"/>
      <c r="Q83" s="26"/>
      <c r="R83" s="26">
        <f>ROUND((N83*O83/1000),3)</f>
        <v>2.2759999999999998</v>
      </c>
      <c r="S83" s="26">
        <v>36</v>
      </c>
      <c r="T83" s="26">
        <f>D1</f>
        <v>44.63</v>
      </c>
      <c r="U83" s="26"/>
      <c r="V83" s="26"/>
      <c r="W83" s="26">
        <f>ROUND((S83*T83/1000),3)</f>
        <v>1.607</v>
      </c>
      <c r="X83" s="26">
        <f>D83+I83+N83+S83</f>
        <v>192</v>
      </c>
      <c r="Y83" s="26"/>
      <c r="Z83" s="26">
        <f>H83+M83+R83+W83</f>
        <v>8.363999999999999</v>
      </c>
      <c r="AA83" s="96"/>
      <c r="AB83" s="15">
        <v>129</v>
      </c>
      <c r="AC83" s="15">
        <v>192</v>
      </c>
      <c r="AE83" s="15">
        <v>37184</v>
      </c>
    </row>
    <row r="84" spans="1:31" ht="12" customHeight="1" x14ac:dyDescent="0.2">
      <c r="A84" s="24" t="s">
        <v>172</v>
      </c>
      <c r="B84" s="142" t="s">
        <v>391</v>
      </c>
      <c r="C84" s="190"/>
      <c r="D84" s="25"/>
      <c r="E84" s="26"/>
      <c r="F84" s="26"/>
      <c r="G84" s="26"/>
      <c r="H84" s="26"/>
      <c r="I84" s="95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96"/>
    </row>
    <row r="85" spans="1:31" ht="12" customHeight="1" x14ac:dyDescent="0.2">
      <c r="A85" s="24"/>
      <c r="B85" s="93" t="s">
        <v>64</v>
      </c>
      <c r="C85" s="190" t="s">
        <v>38</v>
      </c>
      <c r="D85" s="25">
        <v>104</v>
      </c>
      <c r="E85" s="26">
        <f>C1</f>
        <v>42.67</v>
      </c>
      <c r="F85" s="26"/>
      <c r="G85" s="26"/>
      <c r="H85" s="26">
        <f>ROUND((D85*E85/1000),3)</f>
        <v>4.4379999999999997</v>
      </c>
      <c r="I85" s="95">
        <v>405</v>
      </c>
      <c r="J85" s="26">
        <f>C1</f>
        <v>42.67</v>
      </c>
      <c r="K85" s="26"/>
      <c r="L85" s="26"/>
      <c r="M85" s="26">
        <f>ROUND((I85*J85/1000),3)</f>
        <v>17.280999999999999</v>
      </c>
      <c r="N85" s="26">
        <v>295</v>
      </c>
      <c r="O85" s="26">
        <f>D1</f>
        <v>44.63</v>
      </c>
      <c r="P85" s="26"/>
      <c r="Q85" s="26"/>
      <c r="R85" s="26">
        <f>ROUND((N85*O85/1000),3)</f>
        <v>13.166</v>
      </c>
      <c r="S85" s="26">
        <v>226</v>
      </c>
      <c r="T85" s="26">
        <f>D1</f>
        <v>44.63</v>
      </c>
      <c r="U85" s="26"/>
      <c r="V85" s="26"/>
      <c r="W85" s="26">
        <f>ROUND((S85*T85/1000),3)</f>
        <v>10.086</v>
      </c>
      <c r="X85" s="26">
        <f>D85+I85+N85+S85</f>
        <v>1030</v>
      </c>
      <c r="Y85" s="26"/>
      <c r="Z85" s="26">
        <f>H85+M85+R85+W85</f>
        <v>44.970999999999997</v>
      </c>
      <c r="AA85" s="96"/>
      <c r="AB85" s="15">
        <v>936</v>
      </c>
      <c r="AC85" s="15">
        <v>1030</v>
      </c>
    </row>
    <row r="86" spans="1:31" ht="11.85" customHeight="1" x14ac:dyDescent="0.2">
      <c r="A86" s="24"/>
      <c r="B86" s="93" t="s">
        <v>30</v>
      </c>
      <c r="C86" s="190" t="s">
        <v>29</v>
      </c>
      <c r="D86" s="25">
        <v>212.7</v>
      </c>
      <c r="E86" s="26">
        <v>49.58</v>
      </c>
      <c r="F86" s="26">
        <v>22.4</v>
      </c>
      <c r="G86" s="224">
        <v>4697.71</v>
      </c>
      <c r="H86" s="26">
        <f>((G86*F86+E86*D86)/1000)</f>
        <v>115.77436999999999</v>
      </c>
      <c r="I86" s="95">
        <v>140</v>
      </c>
      <c r="J86" s="26">
        <v>49.58</v>
      </c>
      <c r="K86" s="26">
        <v>22.4</v>
      </c>
      <c r="L86" s="224">
        <v>4697.71</v>
      </c>
      <c r="M86" s="26">
        <f>((L86*K86+J86*I86)/1000)</f>
        <v>112.16990399999999</v>
      </c>
      <c r="N86" s="26">
        <v>180</v>
      </c>
      <c r="O86" s="26">
        <v>53.77</v>
      </c>
      <c r="P86" s="26">
        <v>22.4</v>
      </c>
      <c r="Q86" s="26">
        <v>5146.84</v>
      </c>
      <c r="R86" s="26">
        <f>((Q86*P86+O86*N86)/1000)</f>
        <v>124.967816</v>
      </c>
      <c r="S86" s="26">
        <v>212.7</v>
      </c>
      <c r="T86" s="26">
        <v>53.77</v>
      </c>
      <c r="U86" s="26">
        <v>22.4</v>
      </c>
      <c r="V86" s="26">
        <v>5146.84</v>
      </c>
      <c r="W86" s="26">
        <f>((V86*U86+T86*S86)/1000)</f>
        <v>126.726095</v>
      </c>
      <c r="X86" s="26">
        <f>D86+I86+N86+S86</f>
        <v>745.40000000000009</v>
      </c>
      <c r="Y86" s="26">
        <f t="shared" si="5"/>
        <v>89.6</v>
      </c>
      <c r="Z86" s="26">
        <f>H86+M86+R86+W86</f>
        <v>479.63818499999996</v>
      </c>
      <c r="AA86" s="96"/>
      <c r="AB86" s="15">
        <v>325.39999999999998</v>
      </c>
      <c r="AC86" s="15">
        <v>745.40000000000009</v>
      </c>
    </row>
    <row r="87" spans="1:31" ht="12" customHeight="1" x14ac:dyDescent="0.2">
      <c r="A87" s="24"/>
      <c r="B87" s="93" t="s">
        <v>43</v>
      </c>
      <c r="C87" s="190" t="s">
        <v>44</v>
      </c>
      <c r="D87" s="25">
        <f>D85+D86</f>
        <v>316.7</v>
      </c>
      <c r="E87" s="26">
        <f>H5</f>
        <v>68.56</v>
      </c>
      <c r="F87" s="26"/>
      <c r="G87" s="26"/>
      <c r="H87" s="26">
        <f>ROUND((D87*E87/1000),3)</f>
        <v>21.713000000000001</v>
      </c>
      <c r="I87" s="95">
        <f>I85+I86</f>
        <v>545</v>
      </c>
      <c r="J87" s="26">
        <f>H5</f>
        <v>68.56</v>
      </c>
      <c r="K87" s="26"/>
      <c r="L87" s="26"/>
      <c r="M87" s="26">
        <f>ROUND((I87*J87/1000),3)</f>
        <v>37.365000000000002</v>
      </c>
      <c r="N87" s="26">
        <f>N85+N86</f>
        <v>475</v>
      </c>
      <c r="O87" s="26">
        <f>I5</f>
        <v>78.45</v>
      </c>
      <c r="P87" s="26"/>
      <c r="Q87" s="26"/>
      <c r="R87" s="26">
        <f>ROUND((N87*O87/1000),3)</f>
        <v>37.264000000000003</v>
      </c>
      <c r="S87" s="26">
        <f>S85+S86</f>
        <v>438.7</v>
      </c>
      <c r="T87" s="26">
        <f>I5</f>
        <v>78.45</v>
      </c>
      <c r="U87" s="26"/>
      <c r="V87" s="26"/>
      <c r="W87" s="26">
        <f>ROUND((S87*T87/1000),3)</f>
        <v>34.415999999999997</v>
      </c>
      <c r="X87" s="26">
        <f>D87+I87+N87+S87</f>
        <v>1775.4</v>
      </c>
      <c r="Y87" s="26"/>
      <c r="Z87" s="26">
        <f>H87+M87+R87+W87</f>
        <v>130.75800000000001</v>
      </c>
      <c r="AA87" s="96"/>
      <c r="AB87" s="15">
        <v>1261.4000000000001</v>
      </c>
      <c r="AC87" s="15">
        <v>1775.4</v>
      </c>
    </row>
    <row r="88" spans="1:31" ht="12" customHeight="1" x14ac:dyDescent="0.2">
      <c r="A88" s="24" t="s">
        <v>173</v>
      </c>
      <c r="B88" s="142" t="s">
        <v>372</v>
      </c>
      <c r="C88" s="190"/>
      <c r="D88" s="25"/>
      <c r="E88" s="25"/>
      <c r="F88" s="25"/>
      <c r="G88" s="25"/>
      <c r="H88" s="26"/>
      <c r="I88" s="95"/>
      <c r="J88" s="26"/>
      <c r="K88" s="25"/>
      <c r="L88" s="25"/>
      <c r="M88" s="26"/>
      <c r="N88" s="26"/>
      <c r="O88" s="26"/>
      <c r="P88" s="25"/>
      <c r="Q88" s="25"/>
      <c r="R88" s="26"/>
      <c r="S88" s="26"/>
      <c r="T88" s="26"/>
      <c r="U88" s="25"/>
      <c r="V88" s="25"/>
      <c r="W88" s="26"/>
      <c r="X88" s="26"/>
      <c r="Y88" s="26"/>
      <c r="Z88" s="26"/>
      <c r="AA88" s="96"/>
    </row>
    <row r="89" spans="1:31" ht="12" customHeight="1" x14ac:dyDescent="0.2">
      <c r="A89" s="24"/>
      <c r="B89" s="93" t="s">
        <v>64</v>
      </c>
      <c r="C89" s="190" t="s">
        <v>38</v>
      </c>
      <c r="D89" s="25">
        <v>38</v>
      </c>
      <c r="E89" s="26">
        <f>C1</f>
        <v>42.67</v>
      </c>
      <c r="F89" s="26"/>
      <c r="G89" s="26"/>
      <c r="H89" s="26">
        <f>ROUND((D89*E89/1000),3)</f>
        <v>1.621</v>
      </c>
      <c r="I89" s="97">
        <v>47</v>
      </c>
      <c r="J89" s="26">
        <f>C1</f>
        <v>42.67</v>
      </c>
      <c r="K89" s="26"/>
      <c r="L89" s="26"/>
      <c r="M89" s="26">
        <f>ROUND((I89*J89/1000),3)</f>
        <v>2.0049999999999999</v>
      </c>
      <c r="N89" s="25">
        <v>66</v>
      </c>
      <c r="O89" s="26">
        <f>D1</f>
        <v>44.63</v>
      </c>
      <c r="P89" s="26"/>
      <c r="Q89" s="26"/>
      <c r="R89" s="26">
        <f>ROUND((N89*O89/1000),3)</f>
        <v>2.9460000000000002</v>
      </c>
      <c r="S89" s="25">
        <v>193.44</v>
      </c>
      <c r="T89" s="26">
        <f>D1</f>
        <v>44.63</v>
      </c>
      <c r="U89" s="26"/>
      <c r="V89" s="26"/>
      <c r="W89" s="26">
        <f>ROUND((S89*T89/1000),3)</f>
        <v>8.6329999999999991</v>
      </c>
      <c r="X89" s="26">
        <f>D89+I89+N89+S89</f>
        <v>344.44</v>
      </c>
      <c r="Y89" s="26"/>
      <c r="Z89" s="26">
        <f>H89+M89+R89+W89</f>
        <v>15.204999999999998</v>
      </c>
      <c r="AA89" s="96"/>
      <c r="AB89" s="15">
        <v>311</v>
      </c>
      <c r="AC89" s="15">
        <v>344.44</v>
      </c>
    </row>
    <row r="90" spans="1:31" ht="11.85" customHeight="1" x14ac:dyDescent="0.2">
      <c r="A90" s="24"/>
      <c r="B90" s="93" t="s">
        <v>30</v>
      </c>
      <c r="C90" s="190" t="s">
        <v>29</v>
      </c>
      <c r="D90" s="25">
        <v>67.7</v>
      </c>
      <c r="E90" s="26">
        <v>49.58</v>
      </c>
      <c r="F90" s="26">
        <v>6.5</v>
      </c>
      <c r="G90" s="224">
        <v>4697.71</v>
      </c>
      <c r="H90" s="26">
        <f>((G90*F90+E90*D90)/1000)</f>
        <v>33.891681000000005</v>
      </c>
      <c r="I90" s="95">
        <v>65.2</v>
      </c>
      <c r="J90" s="26">
        <v>49.58</v>
      </c>
      <c r="K90" s="26">
        <v>6.5</v>
      </c>
      <c r="L90" s="224">
        <v>4697.71</v>
      </c>
      <c r="M90" s="26">
        <f>((L90*K90+J90*I90)/1000)</f>
        <v>33.767730999999998</v>
      </c>
      <c r="N90" s="26">
        <v>53.2</v>
      </c>
      <c r="O90" s="26">
        <v>53.77</v>
      </c>
      <c r="P90" s="26">
        <v>6.5</v>
      </c>
      <c r="Q90" s="26">
        <v>5146.84</v>
      </c>
      <c r="R90" s="26">
        <f>((Q90*P90+O90*N90)/1000)</f>
        <v>36.315024000000001</v>
      </c>
      <c r="S90" s="26">
        <v>64.900000000000006</v>
      </c>
      <c r="T90" s="26">
        <v>53.77</v>
      </c>
      <c r="U90" s="26">
        <v>6.5</v>
      </c>
      <c r="V90" s="26">
        <v>5146.84</v>
      </c>
      <c r="W90" s="26">
        <f>((V90*U90+T90*S90)/1000)</f>
        <v>36.944133000000001</v>
      </c>
      <c r="X90" s="26">
        <f>D90+I90+N90+S90</f>
        <v>251.00000000000003</v>
      </c>
      <c r="Y90" s="26">
        <f t="shared" si="5"/>
        <v>26</v>
      </c>
      <c r="Z90" s="26">
        <f>H90+M90+R90+W90</f>
        <v>140.91856899999999</v>
      </c>
      <c r="AA90" s="96"/>
      <c r="AB90" s="15">
        <v>216.2</v>
      </c>
      <c r="AC90" s="15">
        <v>251.00000000000003</v>
      </c>
    </row>
    <row r="91" spans="1:31" ht="12" customHeight="1" x14ac:dyDescent="0.2">
      <c r="A91" s="24"/>
      <c r="B91" s="93" t="s">
        <v>43</v>
      </c>
      <c r="C91" s="190" t="s">
        <v>44</v>
      </c>
      <c r="D91" s="25">
        <f>D89+D90</f>
        <v>105.7</v>
      </c>
      <c r="E91" s="26">
        <f>H5</f>
        <v>68.56</v>
      </c>
      <c r="F91" s="26"/>
      <c r="G91" s="26"/>
      <c r="H91" s="26">
        <f>ROUND((D91*E91/1000),3)</f>
        <v>7.2469999999999999</v>
      </c>
      <c r="I91" s="97">
        <f>I89+I90</f>
        <v>112.2</v>
      </c>
      <c r="J91" s="26">
        <f>H5</f>
        <v>68.56</v>
      </c>
      <c r="K91" s="26"/>
      <c r="L91" s="26"/>
      <c r="M91" s="26">
        <f>ROUND((I91*J91/1000),3)</f>
        <v>7.6920000000000002</v>
      </c>
      <c r="N91" s="25">
        <f>N89+N90</f>
        <v>119.2</v>
      </c>
      <c r="O91" s="26">
        <f>I5</f>
        <v>78.45</v>
      </c>
      <c r="P91" s="26"/>
      <c r="Q91" s="26"/>
      <c r="R91" s="26">
        <f>ROUND((N91*O91/1000),3)</f>
        <v>9.3510000000000009</v>
      </c>
      <c r="S91" s="25">
        <f>S89+S90</f>
        <v>258.34000000000003</v>
      </c>
      <c r="T91" s="26">
        <f>I5</f>
        <v>78.45</v>
      </c>
      <c r="U91" s="26"/>
      <c r="V91" s="26"/>
      <c r="W91" s="26">
        <f>ROUND((S91*T91/1000),3)</f>
        <v>20.266999999999999</v>
      </c>
      <c r="X91" s="26">
        <f>D91+I91+N91+S91</f>
        <v>595.44000000000005</v>
      </c>
      <c r="Y91" s="26"/>
      <c r="Z91" s="26">
        <f>H91+M91+R91+W91</f>
        <v>44.557000000000002</v>
      </c>
      <c r="AA91" s="96"/>
      <c r="AB91" s="15">
        <v>527.20000000000005</v>
      </c>
      <c r="AC91" s="15">
        <v>595.44000000000005</v>
      </c>
    </row>
    <row r="92" spans="1:31" ht="12" customHeight="1" x14ac:dyDescent="0.2">
      <c r="A92" s="24" t="s">
        <v>174</v>
      </c>
      <c r="B92" s="142" t="s">
        <v>373</v>
      </c>
      <c r="C92" s="190"/>
      <c r="D92" s="25"/>
      <c r="E92" s="25"/>
      <c r="F92" s="25"/>
      <c r="G92" s="25"/>
      <c r="H92" s="26"/>
      <c r="I92" s="95"/>
      <c r="J92" s="26"/>
      <c r="K92" s="25"/>
      <c r="L92" s="25"/>
      <c r="M92" s="26"/>
      <c r="N92" s="26"/>
      <c r="O92" s="26"/>
      <c r="P92" s="25"/>
      <c r="Q92" s="25"/>
      <c r="R92" s="26"/>
      <c r="S92" s="26"/>
      <c r="T92" s="26"/>
      <c r="U92" s="25"/>
      <c r="V92" s="25"/>
      <c r="W92" s="26"/>
      <c r="X92" s="26"/>
      <c r="Y92" s="26"/>
      <c r="Z92" s="26"/>
      <c r="AA92" s="96"/>
    </row>
    <row r="93" spans="1:31" ht="12" customHeight="1" x14ac:dyDescent="0.2">
      <c r="A93" s="24"/>
      <c r="B93" s="93" t="s">
        <v>64</v>
      </c>
      <c r="C93" s="190" t="s">
        <v>41</v>
      </c>
      <c r="D93" s="25">
        <v>137</v>
      </c>
      <c r="E93" s="25">
        <f>C2</f>
        <v>43.81</v>
      </c>
      <c r="F93" s="25"/>
      <c r="G93" s="25"/>
      <c r="H93" s="26">
        <f>ROUND((D93*E93/1000),3)</f>
        <v>6.0019999999999998</v>
      </c>
      <c r="I93" s="95">
        <v>210</v>
      </c>
      <c r="J93" s="26">
        <f>C2</f>
        <v>43.81</v>
      </c>
      <c r="K93" s="25"/>
      <c r="L93" s="25"/>
      <c r="M93" s="26">
        <f>ROUND((I93*J93/1000),3)</f>
        <v>9.1999999999999993</v>
      </c>
      <c r="N93" s="26">
        <v>134</v>
      </c>
      <c r="O93" s="26">
        <f>D2</f>
        <v>51.02</v>
      </c>
      <c r="P93" s="25"/>
      <c r="Q93" s="25"/>
      <c r="R93" s="26">
        <f>ROUND((N93*O93/1000),3)</f>
        <v>6.8369999999999997</v>
      </c>
      <c r="S93" s="26">
        <v>131</v>
      </c>
      <c r="T93" s="26">
        <f>D2</f>
        <v>51.02</v>
      </c>
      <c r="U93" s="25"/>
      <c r="V93" s="25"/>
      <c r="W93" s="26">
        <f>ROUND((S93*T93/1000),3)</f>
        <v>6.6840000000000002</v>
      </c>
      <c r="X93" s="26">
        <f>D93+I93+N93+S93</f>
        <v>612</v>
      </c>
      <c r="Y93" s="26"/>
      <c r="Z93" s="26">
        <f>H93+M93+R93+W93</f>
        <v>28.722999999999999</v>
      </c>
      <c r="AA93" s="96"/>
      <c r="AB93" s="15">
        <v>949</v>
      </c>
      <c r="AC93" s="16">
        <v>628</v>
      </c>
    </row>
    <row r="94" spans="1:31" ht="12" customHeight="1" x14ac:dyDescent="0.2">
      <c r="A94" s="24"/>
      <c r="B94" s="140" t="s">
        <v>92</v>
      </c>
      <c r="C94" s="190" t="s">
        <v>41</v>
      </c>
      <c r="D94" s="25">
        <v>118</v>
      </c>
      <c r="E94" s="26">
        <f>H8</f>
        <v>620</v>
      </c>
      <c r="F94" s="26"/>
      <c r="G94" s="26"/>
      <c r="H94" s="26">
        <f>ROUND((D94*E94/1000),3)</f>
        <v>73.16</v>
      </c>
      <c r="I94" s="95">
        <v>158</v>
      </c>
      <c r="J94" s="26">
        <f>H8</f>
        <v>620</v>
      </c>
      <c r="K94" s="26"/>
      <c r="L94" s="26"/>
      <c r="M94" s="26">
        <f>ROUND((I94*J94/1000),3)</f>
        <v>97.96</v>
      </c>
      <c r="N94" s="26">
        <v>153.19999999999999</v>
      </c>
      <c r="O94" s="26">
        <f>I8</f>
        <v>620</v>
      </c>
      <c r="P94" s="26"/>
      <c r="Q94" s="26"/>
      <c r="R94" s="26">
        <f>ROUND((N94*O94/1000),3)</f>
        <v>94.983999999999995</v>
      </c>
      <c r="S94" s="26">
        <v>165.2</v>
      </c>
      <c r="T94" s="26">
        <f>I8</f>
        <v>620</v>
      </c>
      <c r="U94" s="26"/>
      <c r="V94" s="26"/>
      <c r="W94" s="26">
        <f>ROUND((S94*T94/1000),3)</f>
        <v>102.42400000000001</v>
      </c>
      <c r="X94" s="26">
        <f>D94+I94+N94+S94</f>
        <v>594.4</v>
      </c>
      <c r="Y94" s="26"/>
      <c r="Z94" s="26">
        <f>H94+M94+R94+W94</f>
        <v>368.52800000000002</v>
      </c>
      <c r="AA94" s="96"/>
      <c r="AB94" s="15">
        <v>677</v>
      </c>
      <c r="AC94" s="15">
        <v>628</v>
      </c>
    </row>
    <row r="95" spans="1:31" ht="12" customHeight="1" x14ac:dyDescent="0.2">
      <c r="A95" s="24" t="s">
        <v>175</v>
      </c>
      <c r="B95" s="142" t="s">
        <v>374</v>
      </c>
      <c r="C95" s="190"/>
      <c r="D95" s="25"/>
      <c r="E95" s="25"/>
      <c r="F95" s="25"/>
      <c r="G95" s="25"/>
      <c r="H95" s="26"/>
      <c r="I95" s="95"/>
      <c r="J95" s="26"/>
      <c r="K95" s="25"/>
      <c r="L95" s="25"/>
      <c r="M95" s="26"/>
      <c r="N95" s="26"/>
      <c r="O95" s="26"/>
      <c r="P95" s="25"/>
      <c r="Q95" s="25"/>
      <c r="R95" s="26"/>
      <c r="S95" s="26"/>
      <c r="T95" s="26"/>
      <c r="U95" s="25"/>
      <c r="V95" s="25"/>
      <c r="W95" s="26"/>
      <c r="X95" s="26"/>
      <c r="Y95" s="26"/>
      <c r="Z95" s="26"/>
      <c r="AA95" s="96"/>
    </row>
    <row r="96" spans="1:31" ht="11.25" customHeight="1" x14ac:dyDescent="0.2">
      <c r="A96" s="24"/>
      <c r="B96" s="93" t="s">
        <v>64</v>
      </c>
      <c r="C96" s="190" t="s">
        <v>67</v>
      </c>
      <c r="D96" s="25">
        <v>63</v>
      </c>
      <c r="E96" s="25">
        <f>C3</f>
        <v>32.9</v>
      </c>
      <c r="F96" s="25"/>
      <c r="G96" s="25"/>
      <c r="H96" s="26">
        <f>ROUND((D96*E96/1000),3)</f>
        <v>2.073</v>
      </c>
      <c r="I96" s="95">
        <v>74</v>
      </c>
      <c r="J96" s="26">
        <f>C3</f>
        <v>32.9</v>
      </c>
      <c r="K96" s="25"/>
      <c r="L96" s="25"/>
      <c r="M96" s="26">
        <f>ROUND((I96*J96/1000),3)</f>
        <v>2.4350000000000001</v>
      </c>
      <c r="N96" s="26">
        <v>113</v>
      </c>
      <c r="O96" s="26">
        <f>D3</f>
        <v>37.200000000000003</v>
      </c>
      <c r="P96" s="25"/>
      <c r="Q96" s="25"/>
      <c r="R96" s="26">
        <f>ROUND((N96*O96/1000),3)</f>
        <v>4.2039999999999997</v>
      </c>
      <c r="S96" s="26">
        <v>119</v>
      </c>
      <c r="T96" s="26">
        <f>D3</f>
        <v>37.200000000000003</v>
      </c>
      <c r="U96" s="25"/>
      <c r="V96" s="25"/>
      <c r="W96" s="26">
        <f>ROUND((S96*T96/1000),3)</f>
        <v>4.4269999999999996</v>
      </c>
      <c r="X96" s="26">
        <f>D96+I96+N96+S96</f>
        <v>369</v>
      </c>
      <c r="Y96" s="26"/>
      <c r="Z96" s="26">
        <f>H96+M96+R96+W96</f>
        <v>13.138999999999999</v>
      </c>
      <c r="AA96" s="96"/>
      <c r="AB96" s="15">
        <v>330</v>
      </c>
      <c r="AC96" s="15">
        <v>354</v>
      </c>
    </row>
    <row r="97" spans="1:31" ht="11.25" customHeight="1" x14ac:dyDescent="0.2">
      <c r="A97" s="24"/>
      <c r="B97" s="140" t="s">
        <v>92</v>
      </c>
      <c r="C97" s="190" t="s">
        <v>254</v>
      </c>
      <c r="D97" s="25">
        <v>0</v>
      </c>
      <c r="E97" s="26">
        <f>H7</f>
        <v>280</v>
      </c>
      <c r="F97" s="26"/>
      <c r="G97" s="26"/>
      <c r="H97" s="26">
        <f>ROUND((D97*E97/1000),3)</f>
        <v>0</v>
      </c>
      <c r="I97" s="95">
        <v>8</v>
      </c>
      <c r="J97" s="26">
        <f>H7</f>
        <v>280</v>
      </c>
      <c r="K97" s="26"/>
      <c r="L97" s="26"/>
      <c r="M97" s="26">
        <f>ROUND((I97*J97/1000),3)</f>
        <v>2.2400000000000002</v>
      </c>
      <c r="N97" s="26">
        <v>47.2</v>
      </c>
      <c r="O97" s="26">
        <f>I7</f>
        <v>280</v>
      </c>
      <c r="P97" s="26"/>
      <c r="Q97" s="26"/>
      <c r="R97" s="26">
        <f>ROUND((N97*O97/1000),3)</f>
        <v>13.215999999999999</v>
      </c>
      <c r="S97" s="26">
        <v>8</v>
      </c>
      <c r="T97" s="26">
        <f>I7</f>
        <v>280</v>
      </c>
      <c r="U97" s="26"/>
      <c r="V97" s="26"/>
      <c r="W97" s="26">
        <f>ROUND((S97*T97/1000),3)</f>
        <v>2.2400000000000002</v>
      </c>
      <c r="X97" s="26">
        <f>D97+I97+N97+S97</f>
        <v>63.2</v>
      </c>
      <c r="Y97" s="26"/>
      <c r="Z97" s="26">
        <f>H97+M97+R97+W97</f>
        <v>17.695999999999998</v>
      </c>
      <c r="AA97" s="96"/>
      <c r="AB97" s="15">
        <v>49</v>
      </c>
      <c r="AC97" s="15">
        <v>49</v>
      </c>
    </row>
    <row r="98" spans="1:31" ht="12" customHeight="1" x14ac:dyDescent="0.2">
      <c r="A98" s="24" t="s">
        <v>176</v>
      </c>
      <c r="B98" s="142" t="s">
        <v>392</v>
      </c>
      <c r="C98" s="190"/>
      <c r="D98" s="25"/>
      <c r="E98" s="26"/>
      <c r="F98" s="26"/>
      <c r="G98" s="26"/>
      <c r="H98" s="26"/>
      <c r="I98" s="95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96"/>
    </row>
    <row r="99" spans="1:31" ht="12" customHeight="1" x14ac:dyDescent="0.2">
      <c r="A99" s="24"/>
      <c r="B99" s="93" t="s">
        <v>40</v>
      </c>
      <c r="C99" s="190" t="s">
        <v>53</v>
      </c>
      <c r="D99" s="25">
        <v>66</v>
      </c>
      <c r="E99" s="26">
        <f>C4</f>
        <v>44.28</v>
      </c>
      <c r="F99" s="26"/>
      <c r="G99" s="26"/>
      <c r="H99" s="26">
        <f>ROUND((D99*E99/1000),3)</f>
        <v>2.9220000000000002</v>
      </c>
      <c r="I99" s="95">
        <v>65</v>
      </c>
      <c r="J99" s="26">
        <f>C4</f>
        <v>44.28</v>
      </c>
      <c r="K99" s="26"/>
      <c r="L99" s="26"/>
      <c r="M99" s="26">
        <f>ROUND((I99*J99/1000),3)</f>
        <v>2.8780000000000001</v>
      </c>
      <c r="N99" s="26">
        <v>65</v>
      </c>
      <c r="O99" s="26">
        <f>D4</f>
        <v>44.74</v>
      </c>
      <c r="P99" s="26"/>
      <c r="Q99" s="26"/>
      <c r="R99" s="26">
        <f>ROUND((N99*O99/1000),3)</f>
        <v>2.9079999999999999</v>
      </c>
      <c r="S99" s="26">
        <v>69</v>
      </c>
      <c r="T99" s="26">
        <f>D4</f>
        <v>44.74</v>
      </c>
      <c r="U99" s="26"/>
      <c r="V99" s="26"/>
      <c r="W99" s="26">
        <f>ROUND((S99*T99/1000),3)</f>
        <v>3.0870000000000002</v>
      </c>
      <c r="X99" s="26">
        <f>D99+I99+N99+S99</f>
        <v>265</v>
      </c>
      <c r="Y99" s="26"/>
      <c r="Z99" s="26">
        <f>H99+M99+R99+W99</f>
        <v>11.795</v>
      </c>
      <c r="AA99" s="96"/>
      <c r="AB99" s="15">
        <v>279</v>
      </c>
      <c r="AC99" s="15">
        <v>253</v>
      </c>
      <c r="AE99" s="15">
        <v>46774</v>
      </c>
    </row>
    <row r="100" spans="1:31" ht="10.5" customHeight="1" x14ac:dyDescent="0.2">
      <c r="A100" s="24"/>
      <c r="B100" s="140" t="s">
        <v>92</v>
      </c>
      <c r="C100" s="190" t="s">
        <v>53</v>
      </c>
      <c r="D100" s="25">
        <v>4.5</v>
      </c>
      <c r="E100" s="26">
        <f>M7</f>
        <v>393.56</v>
      </c>
      <c r="F100" s="26"/>
      <c r="G100" s="26"/>
      <c r="H100" s="26">
        <f>ROUND((D100*E100/1000),3)</f>
        <v>1.7709999999999999</v>
      </c>
      <c r="I100" s="95">
        <v>4.5</v>
      </c>
      <c r="J100" s="26">
        <f>M7</f>
        <v>393.56</v>
      </c>
      <c r="K100" s="26"/>
      <c r="L100" s="26"/>
      <c r="M100" s="26">
        <f>ROUND((I100*J100/1000),3)</f>
        <v>1.7709999999999999</v>
      </c>
      <c r="N100" s="26">
        <v>4.5</v>
      </c>
      <c r="O100" s="26">
        <f>N7</f>
        <v>452.59</v>
      </c>
      <c r="P100" s="26"/>
      <c r="Q100" s="26"/>
      <c r="R100" s="26">
        <f>ROUND((N100*O100/1000),3)</f>
        <v>2.0369999999999999</v>
      </c>
      <c r="S100" s="26">
        <v>4.5</v>
      </c>
      <c r="T100" s="26">
        <f>N7</f>
        <v>452.59</v>
      </c>
      <c r="U100" s="26"/>
      <c r="V100" s="26"/>
      <c r="W100" s="26">
        <f>ROUND((S100*T100/1000),3)</f>
        <v>2.0369999999999999</v>
      </c>
      <c r="X100" s="26">
        <f>D100+I100+N100+S100</f>
        <v>18</v>
      </c>
      <c r="Y100" s="26"/>
      <c r="Z100" s="26">
        <f>H100+M100+R100+W100</f>
        <v>7.6159999999999997</v>
      </c>
      <c r="AA100" s="96"/>
      <c r="AB100" s="15">
        <v>18</v>
      </c>
      <c r="AC100" s="15">
        <v>18</v>
      </c>
    </row>
    <row r="101" spans="1:31" ht="15" customHeight="1" x14ac:dyDescent="0.2">
      <c r="A101" s="24" t="s">
        <v>177</v>
      </c>
      <c r="B101" s="142" t="s">
        <v>393</v>
      </c>
      <c r="C101" s="190"/>
      <c r="D101" s="25"/>
      <c r="E101" s="25"/>
      <c r="F101" s="25"/>
      <c r="G101" s="25"/>
      <c r="H101" s="26"/>
      <c r="I101" s="95"/>
      <c r="J101" s="26"/>
      <c r="K101" s="25"/>
      <c r="L101" s="25"/>
      <c r="M101" s="26"/>
      <c r="N101" s="26"/>
      <c r="O101" s="26"/>
      <c r="P101" s="25"/>
      <c r="Q101" s="25"/>
      <c r="R101" s="26"/>
      <c r="S101" s="26"/>
      <c r="T101" s="26"/>
      <c r="U101" s="25"/>
      <c r="V101" s="25"/>
      <c r="W101" s="26"/>
      <c r="X101" s="26"/>
      <c r="Y101" s="26"/>
      <c r="Z101" s="26"/>
      <c r="AA101" s="96"/>
    </row>
    <row r="102" spans="1:31" ht="12" customHeight="1" x14ac:dyDescent="0.2">
      <c r="A102" s="24"/>
      <c r="B102" s="93" t="s">
        <v>64</v>
      </c>
      <c r="C102" s="190" t="s">
        <v>101</v>
      </c>
      <c r="D102" s="25">
        <v>62</v>
      </c>
      <c r="E102" s="26">
        <f>C6</f>
        <v>35.32</v>
      </c>
      <c r="F102" s="26"/>
      <c r="G102" s="26"/>
      <c r="H102" s="26">
        <f>ROUND((D102*E102/1000),3)</f>
        <v>2.19</v>
      </c>
      <c r="I102" s="95">
        <v>77</v>
      </c>
      <c r="J102" s="26">
        <f>C6</f>
        <v>35.32</v>
      </c>
      <c r="K102" s="26"/>
      <c r="L102" s="26"/>
      <c r="M102" s="26">
        <f>ROUND((I102*J102/1000),3)</f>
        <v>2.72</v>
      </c>
      <c r="N102" s="26">
        <v>104</v>
      </c>
      <c r="O102" s="26">
        <f>D6</f>
        <v>35.32</v>
      </c>
      <c r="P102" s="26"/>
      <c r="Q102" s="26"/>
      <c r="R102" s="26">
        <f>ROUND((N102*O102/1000),3)</f>
        <v>3.673</v>
      </c>
      <c r="S102" s="26">
        <v>92</v>
      </c>
      <c r="T102" s="26">
        <f>D6</f>
        <v>35.32</v>
      </c>
      <c r="U102" s="26"/>
      <c r="V102" s="26"/>
      <c r="W102" s="26">
        <f>ROUND((S102*T102/1000),3)</f>
        <v>3.2490000000000001</v>
      </c>
      <c r="X102" s="26">
        <f>D102+I102+N102+S102</f>
        <v>335</v>
      </c>
      <c r="Y102" s="26"/>
      <c r="Z102" s="26">
        <f>H102+M102+R102+W102</f>
        <v>11.832000000000001</v>
      </c>
      <c r="AA102" s="96"/>
      <c r="AB102" s="15">
        <v>285</v>
      </c>
      <c r="AC102" s="15">
        <v>277</v>
      </c>
    </row>
    <row r="103" spans="1:31" ht="12" customHeight="1" x14ac:dyDescent="0.2">
      <c r="A103" s="24" t="s">
        <v>178</v>
      </c>
      <c r="B103" s="142" t="s">
        <v>375</v>
      </c>
      <c r="C103" s="190"/>
      <c r="D103" s="25"/>
      <c r="E103" s="25"/>
      <c r="F103" s="25"/>
      <c r="G103" s="25"/>
      <c r="H103" s="26"/>
      <c r="I103" s="95"/>
      <c r="J103" s="26"/>
      <c r="K103" s="25"/>
      <c r="L103" s="25"/>
      <c r="M103" s="26"/>
      <c r="N103" s="26"/>
      <c r="O103" s="26"/>
      <c r="P103" s="25"/>
      <c r="Q103" s="25"/>
      <c r="R103" s="26"/>
      <c r="S103" s="26"/>
      <c r="T103" s="26"/>
      <c r="U103" s="25"/>
      <c r="V103" s="25"/>
      <c r="W103" s="26"/>
      <c r="X103" s="26"/>
      <c r="Y103" s="26"/>
      <c r="Z103" s="26"/>
      <c r="AA103" s="96"/>
    </row>
    <row r="104" spans="1:31" ht="11.25" customHeight="1" x14ac:dyDescent="0.2">
      <c r="A104" s="24"/>
      <c r="B104" s="93" t="s">
        <v>64</v>
      </c>
      <c r="C104" s="190" t="s">
        <v>67</v>
      </c>
      <c r="D104" s="25">
        <v>50</v>
      </c>
      <c r="E104" s="25">
        <f>C3</f>
        <v>32.9</v>
      </c>
      <c r="F104" s="25"/>
      <c r="G104" s="25"/>
      <c r="H104" s="26">
        <f>ROUND((D104*E104/1000),3)</f>
        <v>1.645</v>
      </c>
      <c r="I104" s="95">
        <v>200</v>
      </c>
      <c r="J104" s="26">
        <f>C3</f>
        <v>32.9</v>
      </c>
      <c r="K104" s="25"/>
      <c r="L104" s="25"/>
      <c r="M104" s="26">
        <f>ROUND((I104*J104/1000),3)</f>
        <v>6.58</v>
      </c>
      <c r="N104" s="26">
        <v>200</v>
      </c>
      <c r="O104" s="26">
        <f>D3</f>
        <v>37.200000000000003</v>
      </c>
      <c r="P104" s="25"/>
      <c r="Q104" s="25"/>
      <c r="R104" s="26">
        <f>ROUND((N104*O104/1000),3)</f>
        <v>7.44</v>
      </c>
      <c r="S104" s="26">
        <v>200</v>
      </c>
      <c r="T104" s="26">
        <f>D3</f>
        <v>37.200000000000003</v>
      </c>
      <c r="U104" s="25"/>
      <c r="V104" s="25"/>
      <c r="W104" s="26">
        <f>ROUND((S104*T104/1000),3)</f>
        <v>7.44</v>
      </c>
      <c r="X104" s="26">
        <f>D104+I104+N104+S104</f>
        <v>650</v>
      </c>
      <c r="Y104" s="26"/>
      <c r="Z104" s="26">
        <f>H104+M104+R104+W104</f>
        <v>23.105</v>
      </c>
      <c r="AA104" s="96"/>
      <c r="AB104" s="15">
        <v>225</v>
      </c>
      <c r="AC104" s="16">
        <v>178</v>
      </c>
    </row>
    <row r="105" spans="1:31" ht="12" customHeight="1" x14ac:dyDescent="0.2">
      <c r="A105" s="24"/>
      <c r="B105" s="140" t="s">
        <v>92</v>
      </c>
      <c r="C105" s="190" t="s">
        <v>254</v>
      </c>
      <c r="D105" s="25">
        <v>16</v>
      </c>
      <c r="E105" s="26">
        <f>H7</f>
        <v>280</v>
      </c>
      <c r="F105" s="26"/>
      <c r="G105" s="26"/>
      <c r="H105" s="26">
        <f>ROUND((D105*E105/1000),3)</f>
        <v>4.4800000000000004</v>
      </c>
      <c r="I105" s="95">
        <v>16</v>
      </c>
      <c r="J105" s="26">
        <f>H7</f>
        <v>280</v>
      </c>
      <c r="K105" s="26"/>
      <c r="L105" s="26"/>
      <c r="M105" s="26">
        <f>ROUND((I105*J105/1000),3)</f>
        <v>4.4800000000000004</v>
      </c>
      <c r="N105" s="26">
        <v>16</v>
      </c>
      <c r="O105" s="26">
        <f>I7</f>
        <v>280</v>
      </c>
      <c r="P105" s="26"/>
      <c r="Q105" s="26"/>
      <c r="R105" s="26">
        <f>ROUND((N105*O105/1000),3)</f>
        <v>4.4800000000000004</v>
      </c>
      <c r="S105" s="26">
        <v>12</v>
      </c>
      <c r="T105" s="26">
        <f>I7</f>
        <v>280</v>
      </c>
      <c r="U105" s="26"/>
      <c r="V105" s="26"/>
      <c r="W105" s="26">
        <f>ROUND((S105*T105/1000),3)</f>
        <v>3.36</v>
      </c>
      <c r="X105" s="26">
        <f>D105+I105+N105+S105</f>
        <v>60</v>
      </c>
      <c r="Y105" s="26"/>
      <c r="Z105" s="26">
        <f>H105+M105+R105+W105</f>
        <v>16.8</v>
      </c>
      <c r="AA105" s="96"/>
      <c r="AB105" s="15">
        <v>48</v>
      </c>
      <c r="AC105" s="15">
        <v>48</v>
      </c>
    </row>
    <row r="106" spans="1:31" ht="11.25" customHeight="1" x14ac:dyDescent="0.2">
      <c r="A106" s="24" t="s">
        <v>179</v>
      </c>
      <c r="B106" s="142" t="s">
        <v>376</v>
      </c>
      <c r="C106" s="190"/>
      <c r="D106" s="25"/>
      <c r="E106" s="25"/>
      <c r="F106" s="25"/>
      <c r="G106" s="25"/>
      <c r="H106" s="26"/>
      <c r="I106" s="95"/>
      <c r="J106" s="26"/>
      <c r="K106" s="25"/>
      <c r="L106" s="25"/>
      <c r="M106" s="26"/>
      <c r="N106" s="26"/>
      <c r="O106" s="26"/>
      <c r="P106" s="25"/>
      <c r="Q106" s="25"/>
      <c r="R106" s="26"/>
      <c r="S106" s="26"/>
      <c r="T106" s="26"/>
      <c r="U106" s="25"/>
      <c r="V106" s="25"/>
      <c r="W106" s="26"/>
      <c r="X106" s="26"/>
      <c r="Y106" s="26"/>
      <c r="Z106" s="26"/>
      <c r="AA106" s="96"/>
    </row>
    <row r="107" spans="1:31" ht="12" customHeight="1" x14ac:dyDescent="0.2">
      <c r="A107" s="24"/>
      <c r="B107" s="93" t="s">
        <v>64</v>
      </c>
      <c r="C107" s="190" t="s">
        <v>67</v>
      </c>
      <c r="D107" s="25">
        <v>200</v>
      </c>
      <c r="E107" s="25">
        <f>C3</f>
        <v>32.9</v>
      </c>
      <c r="F107" s="25"/>
      <c r="G107" s="25"/>
      <c r="H107" s="26">
        <f>ROUND((D107*E107/1000),3)</f>
        <v>6.58</v>
      </c>
      <c r="I107" s="95">
        <v>185</v>
      </c>
      <c r="J107" s="26">
        <f>C3</f>
        <v>32.9</v>
      </c>
      <c r="K107" s="25"/>
      <c r="L107" s="25"/>
      <c r="M107" s="26">
        <f>ROUND((I107*J107/1000),3)</f>
        <v>6.0869999999999997</v>
      </c>
      <c r="N107" s="26">
        <v>251</v>
      </c>
      <c r="O107" s="26">
        <f>D3</f>
        <v>37.200000000000003</v>
      </c>
      <c r="P107" s="25"/>
      <c r="Q107" s="25"/>
      <c r="R107" s="26">
        <f>ROUND((N107*O107/1000),3)</f>
        <v>9.3369999999999997</v>
      </c>
      <c r="S107" s="26">
        <v>331</v>
      </c>
      <c r="T107" s="26">
        <f>D3</f>
        <v>37.200000000000003</v>
      </c>
      <c r="U107" s="25"/>
      <c r="V107" s="25"/>
      <c r="W107" s="26">
        <f>ROUND((S107*T107/1000),3)</f>
        <v>12.313000000000001</v>
      </c>
      <c r="X107" s="26">
        <f>D107+I107+N107+S107</f>
        <v>967</v>
      </c>
      <c r="Y107" s="26"/>
      <c r="Z107" s="26">
        <f>H107+M107+R107+W107</f>
        <v>34.317</v>
      </c>
      <c r="AA107" s="96"/>
      <c r="AB107" s="15">
        <v>1095</v>
      </c>
      <c r="AC107" s="16">
        <v>816</v>
      </c>
    </row>
    <row r="108" spans="1:31" ht="11.25" customHeight="1" x14ac:dyDescent="0.2">
      <c r="A108" s="24"/>
      <c r="B108" s="140" t="s">
        <v>92</v>
      </c>
      <c r="C108" s="190" t="s">
        <v>254</v>
      </c>
      <c r="D108" s="25">
        <v>48</v>
      </c>
      <c r="E108" s="26">
        <f>H7</f>
        <v>280</v>
      </c>
      <c r="F108" s="26"/>
      <c r="G108" s="26"/>
      <c r="H108" s="26">
        <f>ROUND((D108*E108/1000),3)</f>
        <v>13.44</v>
      </c>
      <c r="I108" s="95">
        <v>48</v>
      </c>
      <c r="J108" s="26">
        <f>H7</f>
        <v>280</v>
      </c>
      <c r="K108" s="26"/>
      <c r="L108" s="26"/>
      <c r="M108" s="26">
        <f>ROUND((I108*J108/1000),3)</f>
        <v>13.44</v>
      </c>
      <c r="N108" s="26">
        <v>48</v>
      </c>
      <c r="O108" s="26">
        <f>I7</f>
        <v>280</v>
      </c>
      <c r="P108" s="26"/>
      <c r="Q108" s="26"/>
      <c r="R108" s="26">
        <f>ROUND((N108*O108/1000),3)</f>
        <v>13.44</v>
      </c>
      <c r="S108" s="26">
        <v>48</v>
      </c>
      <c r="T108" s="26">
        <f>I7</f>
        <v>280</v>
      </c>
      <c r="U108" s="26"/>
      <c r="V108" s="26"/>
      <c r="W108" s="26">
        <f>ROUND((S108*T108/1000),3)</f>
        <v>13.44</v>
      </c>
      <c r="X108" s="26">
        <f>D108+I108+N108+S108</f>
        <v>192</v>
      </c>
      <c r="Y108" s="26"/>
      <c r="Z108" s="26">
        <f>H108+M108+R108+W108</f>
        <v>53.76</v>
      </c>
      <c r="AA108" s="96"/>
      <c r="AB108" s="15">
        <v>180</v>
      </c>
      <c r="AC108" s="15">
        <v>192</v>
      </c>
    </row>
    <row r="109" spans="1:31" ht="12" customHeight="1" x14ac:dyDescent="0.2">
      <c r="A109" s="24" t="s">
        <v>180</v>
      </c>
      <c r="B109" s="142" t="s">
        <v>355</v>
      </c>
      <c r="C109" s="190"/>
      <c r="D109" s="25"/>
      <c r="E109" s="25"/>
      <c r="F109" s="25"/>
      <c r="G109" s="25"/>
      <c r="H109" s="26"/>
      <c r="I109" s="95"/>
      <c r="J109" s="26"/>
      <c r="K109" s="25"/>
      <c r="L109" s="25"/>
      <c r="M109" s="26"/>
      <c r="N109" s="26"/>
      <c r="O109" s="26"/>
      <c r="P109" s="25"/>
      <c r="Q109" s="25"/>
      <c r="R109" s="26"/>
      <c r="S109" s="26"/>
      <c r="T109" s="26"/>
      <c r="U109" s="25"/>
      <c r="V109" s="25"/>
      <c r="W109" s="26"/>
      <c r="X109" s="26"/>
      <c r="Y109" s="26"/>
      <c r="Z109" s="26"/>
      <c r="AA109" s="96"/>
    </row>
    <row r="110" spans="1:31" ht="12" customHeight="1" x14ac:dyDescent="0.2">
      <c r="A110" s="24"/>
      <c r="B110" s="93" t="s">
        <v>64</v>
      </c>
      <c r="C110" s="190" t="s">
        <v>38</v>
      </c>
      <c r="D110" s="25">
        <v>66</v>
      </c>
      <c r="E110" s="26">
        <f>C1</f>
        <v>42.67</v>
      </c>
      <c r="F110" s="26"/>
      <c r="G110" s="26"/>
      <c r="H110" s="26">
        <f>ROUND((D110*E110/1000),3)</f>
        <v>2.8159999999999998</v>
      </c>
      <c r="I110" s="97">
        <v>178</v>
      </c>
      <c r="J110" s="26">
        <f>E110</f>
        <v>42.67</v>
      </c>
      <c r="K110" s="26"/>
      <c r="L110" s="26"/>
      <c r="M110" s="26">
        <f>ROUND((I110*J110/1000),3)</f>
        <v>7.5949999999999998</v>
      </c>
      <c r="N110" s="25">
        <v>248</v>
      </c>
      <c r="O110" s="26">
        <f>D1</f>
        <v>44.63</v>
      </c>
      <c r="P110" s="26"/>
      <c r="Q110" s="26"/>
      <c r="R110" s="26">
        <f>ROUND((N110*O110/1000),3)</f>
        <v>11.068</v>
      </c>
      <c r="S110" s="25">
        <v>202</v>
      </c>
      <c r="T110" s="26">
        <f>D1</f>
        <v>44.63</v>
      </c>
      <c r="U110" s="26"/>
      <c r="V110" s="26"/>
      <c r="W110" s="26">
        <f>ROUND((S110*T110/1000),3)</f>
        <v>9.0150000000000006</v>
      </c>
      <c r="X110" s="26">
        <f>D110+I110+N110+S110</f>
        <v>694</v>
      </c>
      <c r="Y110" s="26"/>
      <c r="Z110" s="26">
        <f>H110+M110+R110+W110</f>
        <v>30.494</v>
      </c>
      <c r="AA110" s="60"/>
      <c r="AB110" s="15">
        <v>937</v>
      </c>
      <c r="AC110" s="16">
        <v>475</v>
      </c>
    </row>
    <row r="111" spans="1:31" ht="12" customHeight="1" x14ac:dyDescent="0.2">
      <c r="A111" s="24"/>
      <c r="B111" s="93" t="s">
        <v>43</v>
      </c>
      <c r="C111" s="190" t="s">
        <v>44</v>
      </c>
      <c r="D111" s="25">
        <f>D110</f>
        <v>66</v>
      </c>
      <c r="E111" s="25">
        <f>H5</f>
        <v>68.56</v>
      </c>
      <c r="F111" s="25"/>
      <c r="G111" s="25"/>
      <c r="H111" s="26">
        <f>ROUND((D111*E111/1000),3)</f>
        <v>4.5250000000000004</v>
      </c>
      <c r="I111" s="95">
        <f>I110</f>
        <v>178</v>
      </c>
      <c r="J111" s="26">
        <f>H5</f>
        <v>68.56</v>
      </c>
      <c r="K111" s="25"/>
      <c r="L111" s="25"/>
      <c r="M111" s="26">
        <f>ROUND((I111*J111/1000),3)</f>
        <v>12.204000000000001</v>
      </c>
      <c r="N111" s="26">
        <f>N110</f>
        <v>248</v>
      </c>
      <c r="O111" s="26">
        <f>I5</f>
        <v>78.45</v>
      </c>
      <c r="P111" s="25"/>
      <c r="Q111" s="25"/>
      <c r="R111" s="26">
        <f>ROUND((N111*O111/1000),3)</f>
        <v>19.456</v>
      </c>
      <c r="S111" s="26">
        <f>S110</f>
        <v>202</v>
      </c>
      <c r="T111" s="26">
        <f>I5</f>
        <v>78.45</v>
      </c>
      <c r="U111" s="25"/>
      <c r="V111" s="25"/>
      <c r="W111" s="26">
        <f>ROUND((S111*T111/1000),3)</f>
        <v>15.847</v>
      </c>
      <c r="X111" s="26">
        <f>D111+I111+N111+S111</f>
        <v>694</v>
      </c>
      <c r="Y111" s="26"/>
      <c r="Z111" s="26">
        <f>H111+M111+R111+W111</f>
        <v>52.032000000000004</v>
      </c>
      <c r="AA111" s="96"/>
      <c r="AB111" s="15">
        <v>937</v>
      </c>
      <c r="AC111" s="15">
        <v>475</v>
      </c>
    </row>
    <row r="112" spans="1:31" ht="12" customHeight="1" x14ac:dyDescent="0.2">
      <c r="A112" s="24" t="s">
        <v>181</v>
      </c>
      <c r="B112" s="142" t="s">
        <v>356</v>
      </c>
      <c r="C112" s="190"/>
      <c r="D112" s="25"/>
      <c r="E112" s="25"/>
      <c r="F112" s="25"/>
      <c r="G112" s="25"/>
      <c r="H112" s="26"/>
      <c r="I112" s="95"/>
      <c r="J112" s="26"/>
      <c r="K112" s="25"/>
      <c r="L112" s="25"/>
      <c r="M112" s="26"/>
      <c r="N112" s="26"/>
      <c r="O112" s="26"/>
      <c r="P112" s="25"/>
      <c r="Q112" s="25"/>
      <c r="R112" s="26"/>
      <c r="S112" s="26"/>
      <c r="T112" s="26"/>
      <c r="U112" s="25"/>
      <c r="V112" s="25"/>
      <c r="W112" s="26"/>
      <c r="X112" s="26"/>
      <c r="Y112" s="26"/>
      <c r="Z112" s="26"/>
      <c r="AA112" s="96"/>
    </row>
    <row r="113" spans="1:29" ht="12" customHeight="1" x14ac:dyDescent="0.2">
      <c r="A113" s="24"/>
      <c r="B113" s="93" t="s">
        <v>64</v>
      </c>
      <c r="C113" s="190"/>
      <c r="D113" s="25">
        <f>D117+D120</f>
        <v>508</v>
      </c>
      <c r="E113" s="26"/>
      <c r="F113" s="26"/>
      <c r="G113" s="26"/>
      <c r="H113" s="26">
        <f>ROUND((H117+H120),3)</f>
        <v>21.83</v>
      </c>
      <c r="I113" s="97">
        <f>I117+I120</f>
        <v>389</v>
      </c>
      <c r="J113" s="26"/>
      <c r="K113" s="26"/>
      <c r="L113" s="26"/>
      <c r="M113" s="26">
        <f>ROUND((M117+M120),3)</f>
        <v>16.623999999999999</v>
      </c>
      <c r="N113" s="25">
        <f>N117+N120</f>
        <v>425</v>
      </c>
      <c r="O113" s="26"/>
      <c r="P113" s="26"/>
      <c r="Q113" s="26"/>
      <c r="R113" s="26">
        <f>ROUND((R117+R120),3)</f>
        <v>19.108000000000001</v>
      </c>
      <c r="S113" s="25">
        <f>S117+S120</f>
        <v>492</v>
      </c>
      <c r="T113" s="26"/>
      <c r="U113" s="26"/>
      <c r="V113" s="26"/>
      <c r="W113" s="26">
        <f>ROUND((W117+W120),3)</f>
        <v>22.821000000000002</v>
      </c>
      <c r="X113" s="26">
        <f>D113+I113+N113+S113</f>
        <v>1814</v>
      </c>
      <c r="Y113" s="26"/>
      <c r="Z113" s="26">
        <f>H113+M113+R113+W113</f>
        <v>80.382999999999996</v>
      </c>
      <c r="AA113" s="60"/>
      <c r="AB113" s="15">
        <v>2005</v>
      </c>
      <c r="AC113" s="16">
        <v>1814</v>
      </c>
    </row>
    <row r="114" spans="1:29" ht="12" customHeight="1" x14ac:dyDescent="0.2">
      <c r="A114" s="24"/>
      <c r="B114" s="93" t="s">
        <v>43</v>
      </c>
      <c r="C114" s="190"/>
      <c r="D114" s="25">
        <f>D118</f>
        <v>373</v>
      </c>
      <c r="E114" s="26"/>
      <c r="F114" s="26"/>
      <c r="G114" s="26"/>
      <c r="H114" s="26">
        <f>ROUND((H118),3)</f>
        <v>25.573</v>
      </c>
      <c r="I114" s="97">
        <f>I118</f>
        <v>367</v>
      </c>
      <c r="J114" s="26"/>
      <c r="K114" s="26"/>
      <c r="L114" s="26"/>
      <c r="M114" s="26">
        <f>ROUND((M118),3)</f>
        <v>25.161999999999999</v>
      </c>
      <c r="N114" s="25">
        <f>N118</f>
        <v>403</v>
      </c>
      <c r="O114" s="26"/>
      <c r="P114" s="26"/>
      <c r="Q114" s="26"/>
      <c r="R114" s="26">
        <f>ROUND((R118),3)</f>
        <v>31.614999999999998</v>
      </c>
      <c r="S114" s="25">
        <f>S118</f>
        <v>357</v>
      </c>
      <c r="T114" s="26"/>
      <c r="U114" s="26"/>
      <c r="V114" s="26"/>
      <c r="W114" s="26">
        <f>ROUND((W118),3)</f>
        <v>28.007000000000001</v>
      </c>
      <c r="X114" s="26">
        <f>D114+I114+N114+S114</f>
        <v>1500</v>
      </c>
      <c r="Y114" s="26"/>
      <c r="Z114" s="26">
        <f>H114+M114+R114+W114</f>
        <v>110.357</v>
      </c>
      <c r="AA114" s="96"/>
      <c r="AB114" s="15">
        <v>1553</v>
      </c>
      <c r="AC114" s="15">
        <v>1500</v>
      </c>
    </row>
    <row r="115" spans="1:29" ht="12" customHeight="1" x14ac:dyDescent="0.2">
      <c r="A115" s="24"/>
      <c r="B115" s="140" t="s">
        <v>92</v>
      </c>
      <c r="C115" s="190"/>
      <c r="D115" s="25">
        <f>D121</f>
        <v>135</v>
      </c>
      <c r="E115" s="26"/>
      <c r="F115" s="26"/>
      <c r="G115" s="26"/>
      <c r="H115" s="26">
        <f>ROUND((H121),3)</f>
        <v>83.7</v>
      </c>
      <c r="I115" s="97">
        <f>I121</f>
        <v>22</v>
      </c>
      <c r="J115" s="26"/>
      <c r="K115" s="26"/>
      <c r="L115" s="26"/>
      <c r="M115" s="26">
        <f>ROUND((M121),3)</f>
        <v>13.64</v>
      </c>
      <c r="N115" s="25">
        <f>N121</f>
        <v>22</v>
      </c>
      <c r="O115" s="26"/>
      <c r="P115" s="26"/>
      <c r="Q115" s="26"/>
      <c r="R115" s="26">
        <f>ROUND((R121),3)</f>
        <v>13.64</v>
      </c>
      <c r="S115" s="25">
        <f>S121</f>
        <v>135</v>
      </c>
      <c r="T115" s="26"/>
      <c r="U115" s="26"/>
      <c r="V115" s="26"/>
      <c r="W115" s="26">
        <f>ROUND((W121),3)</f>
        <v>83.7</v>
      </c>
      <c r="X115" s="26">
        <f>D115+I115+N115+S115</f>
        <v>314</v>
      </c>
      <c r="Y115" s="26"/>
      <c r="Z115" s="26">
        <f>H115+M115+R115+W115</f>
        <v>194.68</v>
      </c>
      <c r="AA115" s="96"/>
      <c r="AB115" s="143">
        <v>452</v>
      </c>
      <c r="AC115" s="15">
        <v>314</v>
      </c>
    </row>
    <row r="116" spans="1:29" ht="12" customHeight="1" outlineLevel="1" x14ac:dyDescent="0.2">
      <c r="A116" s="24"/>
      <c r="B116" s="142" t="s">
        <v>356</v>
      </c>
      <c r="C116" s="190"/>
      <c r="D116" s="25"/>
      <c r="E116" s="26"/>
      <c r="F116" s="26"/>
      <c r="G116" s="26"/>
      <c r="H116" s="26"/>
      <c r="I116" s="97"/>
      <c r="J116" s="26"/>
      <c r="K116" s="26"/>
      <c r="L116" s="26"/>
      <c r="M116" s="26"/>
      <c r="N116" s="25"/>
      <c r="O116" s="26"/>
      <c r="P116" s="26"/>
      <c r="Q116" s="26"/>
      <c r="R116" s="26"/>
      <c r="S116" s="25"/>
      <c r="T116" s="26"/>
      <c r="U116" s="26"/>
      <c r="V116" s="26"/>
      <c r="W116" s="26"/>
      <c r="X116" s="26"/>
      <c r="Y116" s="26"/>
      <c r="Z116" s="26"/>
      <c r="AA116" s="96"/>
    </row>
    <row r="117" spans="1:29" ht="12" customHeight="1" outlineLevel="1" x14ac:dyDescent="0.2">
      <c r="A117" s="24"/>
      <c r="B117" s="93" t="s">
        <v>64</v>
      </c>
      <c r="C117" s="190" t="s">
        <v>38</v>
      </c>
      <c r="D117" s="25">
        <v>373</v>
      </c>
      <c r="E117" s="25">
        <f>C1</f>
        <v>42.67</v>
      </c>
      <c r="F117" s="25"/>
      <c r="G117" s="25"/>
      <c r="H117" s="26">
        <f>ROUND((D117*E117/1000),3)</f>
        <v>15.916</v>
      </c>
      <c r="I117" s="95">
        <v>367</v>
      </c>
      <c r="J117" s="26">
        <f>C1</f>
        <v>42.67</v>
      </c>
      <c r="K117" s="25"/>
      <c r="L117" s="25"/>
      <c r="M117" s="26">
        <f>ROUND((I117*J117/1000),3)</f>
        <v>15.66</v>
      </c>
      <c r="N117" s="26">
        <v>403</v>
      </c>
      <c r="O117" s="26">
        <f>D1</f>
        <v>44.63</v>
      </c>
      <c r="P117" s="25"/>
      <c r="Q117" s="25"/>
      <c r="R117" s="26">
        <f>ROUND((N117*O117/1000),3)</f>
        <v>17.986000000000001</v>
      </c>
      <c r="S117" s="26">
        <v>357</v>
      </c>
      <c r="T117" s="26">
        <f>D1</f>
        <v>44.63</v>
      </c>
      <c r="U117" s="25"/>
      <c r="V117" s="25"/>
      <c r="W117" s="26">
        <f>ROUND((S117*T117/1000),3)</f>
        <v>15.933</v>
      </c>
      <c r="X117" s="26">
        <f>D117+I117+N117+S117</f>
        <v>1500</v>
      </c>
      <c r="Y117" s="26"/>
      <c r="Z117" s="26">
        <f>H117+M117+R117+W117</f>
        <v>65.495000000000005</v>
      </c>
      <c r="AA117" s="96"/>
      <c r="AB117" s="15">
        <v>1553</v>
      </c>
      <c r="AC117" s="15">
        <v>1500</v>
      </c>
    </row>
    <row r="118" spans="1:29" ht="11.25" customHeight="1" outlineLevel="1" x14ac:dyDescent="0.2">
      <c r="A118" s="24"/>
      <c r="B118" s="93" t="s">
        <v>43</v>
      </c>
      <c r="C118" s="190" t="s">
        <v>44</v>
      </c>
      <c r="D118" s="25">
        <f>D117</f>
        <v>373</v>
      </c>
      <c r="E118" s="25">
        <f>H5</f>
        <v>68.56</v>
      </c>
      <c r="F118" s="25"/>
      <c r="G118" s="25"/>
      <c r="H118" s="26">
        <f>ROUND((D118*E118/1000),3)</f>
        <v>25.573</v>
      </c>
      <c r="I118" s="95">
        <f>I117</f>
        <v>367</v>
      </c>
      <c r="J118" s="26">
        <f>H5</f>
        <v>68.56</v>
      </c>
      <c r="K118" s="25"/>
      <c r="L118" s="25"/>
      <c r="M118" s="26">
        <f>ROUND((I118*J118/1000),3)</f>
        <v>25.161999999999999</v>
      </c>
      <c r="N118" s="26">
        <f>N117</f>
        <v>403</v>
      </c>
      <c r="O118" s="26">
        <f>I5</f>
        <v>78.45</v>
      </c>
      <c r="P118" s="25"/>
      <c r="Q118" s="25"/>
      <c r="R118" s="26">
        <f>ROUND((N118*O118/1000),3)</f>
        <v>31.614999999999998</v>
      </c>
      <c r="S118" s="26">
        <f>S117</f>
        <v>357</v>
      </c>
      <c r="T118" s="26">
        <f>I5</f>
        <v>78.45</v>
      </c>
      <c r="U118" s="25"/>
      <c r="V118" s="25"/>
      <c r="W118" s="26">
        <f>ROUND((S118*T118/1000),3)</f>
        <v>28.007000000000001</v>
      </c>
      <c r="X118" s="26">
        <f>D118+I118+N118+S118</f>
        <v>1500</v>
      </c>
      <c r="Y118" s="26"/>
      <c r="Z118" s="26">
        <f>H118+M118+R118+W118</f>
        <v>110.357</v>
      </c>
      <c r="AA118" s="96"/>
      <c r="AB118" s="15">
        <v>1553</v>
      </c>
      <c r="AC118" s="15">
        <v>1500</v>
      </c>
    </row>
    <row r="119" spans="1:29" ht="22.5" customHeight="1" outlineLevel="1" x14ac:dyDescent="0.2">
      <c r="A119" s="24"/>
      <c r="B119" s="142" t="s">
        <v>394</v>
      </c>
      <c r="C119" s="190"/>
      <c r="D119" s="25"/>
      <c r="E119" s="26"/>
      <c r="F119" s="26"/>
      <c r="G119" s="26"/>
      <c r="H119" s="26"/>
      <c r="I119" s="97"/>
      <c r="J119" s="26"/>
      <c r="K119" s="26"/>
      <c r="L119" s="26"/>
      <c r="M119" s="26"/>
      <c r="N119" s="25"/>
      <c r="O119" s="26"/>
      <c r="P119" s="26"/>
      <c r="Q119" s="26"/>
      <c r="R119" s="26"/>
      <c r="S119" s="25"/>
      <c r="T119" s="26"/>
      <c r="U119" s="26"/>
      <c r="V119" s="26"/>
      <c r="W119" s="26"/>
      <c r="X119" s="26"/>
      <c r="Y119" s="26"/>
      <c r="Z119" s="26"/>
      <c r="AA119" s="96"/>
    </row>
    <row r="120" spans="1:29" ht="12" customHeight="1" outlineLevel="1" x14ac:dyDescent="0.2">
      <c r="A120" s="24"/>
      <c r="B120" s="93" t="s">
        <v>64</v>
      </c>
      <c r="C120" s="190" t="s">
        <v>41</v>
      </c>
      <c r="D120" s="25">
        <v>135</v>
      </c>
      <c r="E120" s="25">
        <f>C2</f>
        <v>43.81</v>
      </c>
      <c r="F120" s="25"/>
      <c r="G120" s="25"/>
      <c r="H120" s="26">
        <f>ROUND((D120*E120/1000),3)</f>
        <v>5.9139999999999997</v>
      </c>
      <c r="I120" s="95">
        <v>22</v>
      </c>
      <c r="J120" s="26">
        <f>C2</f>
        <v>43.81</v>
      </c>
      <c r="K120" s="25"/>
      <c r="L120" s="25"/>
      <c r="M120" s="26">
        <f>ROUND((I120*J120/1000),3)</f>
        <v>0.96399999999999997</v>
      </c>
      <c r="N120" s="26">
        <v>22</v>
      </c>
      <c r="O120" s="26">
        <f>D2</f>
        <v>51.02</v>
      </c>
      <c r="P120" s="25"/>
      <c r="Q120" s="25"/>
      <c r="R120" s="26">
        <f>ROUND((N120*O120/1000),3)</f>
        <v>1.1220000000000001</v>
      </c>
      <c r="S120" s="26">
        <v>135</v>
      </c>
      <c r="T120" s="26">
        <f>D2</f>
        <v>51.02</v>
      </c>
      <c r="U120" s="25"/>
      <c r="V120" s="25"/>
      <c r="W120" s="26">
        <f>ROUND((S120*T120/1000),3)</f>
        <v>6.8879999999999999</v>
      </c>
      <c r="X120" s="26">
        <f>D120+I120+N120+S120</f>
        <v>314</v>
      </c>
      <c r="Y120" s="26"/>
      <c r="Z120" s="26">
        <f>H120+M120+R120+W120</f>
        <v>14.888</v>
      </c>
      <c r="AA120" s="96"/>
      <c r="AB120" s="15">
        <v>452</v>
      </c>
      <c r="AC120" s="15">
        <v>314</v>
      </c>
    </row>
    <row r="121" spans="1:29" ht="12" customHeight="1" outlineLevel="1" x14ac:dyDescent="0.2">
      <c r="A121" s="24"/>
      <c r="B121" s="140" t="s">
        <v>92</v>
      </c>
      <c r="C121" s="190" t="s">
        <v>41</v>
      </c>
      <c r="D121" s="25">
        <f>D120</f>
        <v>135</v>
      </c>
      <c r="E121" s="26">
        <f>H8</f>
        <v>620</v>
      </c>
      <c r="F121" s="26"/>
      <c r="G121" s="26"/>
      <c r="H121" s="26">
        <f>ROUND((D121*E121/1000),3)</f>
        <v>83.7</v>
      </c>
      <c r="I121" s="95">
        <f>I120</f>
        <v>22</v>
      </c>
      <c r="J121" s="26">
        <f>H8</f>
        <v>620</v>
      </c>
      <c r="K121" s="26"/>
      <c r="L121" s="26"/>
      <c r="M121" s="26">
        <f>ROUND((I121*J121/1000),3)</f>
        <v>13.64</v>
      </c>
      <c r="N121" s="26">
        <v>22</v>
      </c>
      <c r="O121" s="26">
        <f>I8</f>
        <v>620</v>
      </c>
      <c r="P121" s="26"/>
      <c r="Q121" s="26"/>
      <c r="R121" s="26">
        <f>ROUND((N121*O121/1000),3)</f>
        <v>13.64</v>
      </c>
      <c r="S121" s="26">
        <f>S120</f>
        <v>135</v>
      </c>
      <c r="T121" s="26">
        <f>I8</f>
        <v>620</v>
      </c>
      <c r="U121" s="26"/>
      <c r="V121" s="26"/>
      <c r="W121" s="26">
        <f>ROUND((S121*T121/1000),3)</f>
        <v>83.7</v>
      </c>
      <c r="X121" s="26">
        <f>D121+I121+N121+S121</f>
        <v>314</v>
      </c>
      <c r="Y121" s="26"/>
      <c r="Z121" s="26">
        <f>H121+M121+R121+W121</f>
        <v>194.68</v>
      </c>
      <c r="AA121" s="96"/>
      <c r="AB121" s="15">
        <v>452</v>
      </c>
      <c r="AC121" s="15">
        <v>314</v>
      </c>
    </row>
    <row r="122" spans="1:29" ht="12" customHeight="1" x14ac:dyDescent="0.2">
      <c r="A122" s="24" t="s">
        <v>182</v>
      </c>
      <c r="B122" s="94" t="s">
        <v>395</v>
      </c>
      <c r="C122" s="190"/>
      <c r="D122" s="25"/>
      <c r="E122" s="25"/>
      <c r="F122" s="25"/>
      <c r="G122" s="25"/>
      <c r="H122" s="26"/>
      <c r="I122" s="95"/>
      <c r="J122" s="26"/>
      <c r="K122" s="25"/>
      <c r="L122" s="25"/>
      <c r="M122" s="26"/>
      <c r="N122" s="26"/>
      <c r="O122" s="26"/>
      <c r="P122" s="25"/>
      <c r="Q122" s="25"/>
      <c r="R122" s="26"/>
      <c r="S122" s="26"/>
      <c r="T122" s="26"/>
      <c r="U122" s="25"/>
      <c r="V122" s="25"/>
      <c r="W122" s="26"/>
      <c r="X122" s="26"/>
      <c r="Y122" s="26"/>
      <c r="Z122" s="26"/>
      <c r="AA122" s="96"/>
    </row>
    <row r="123" spans="1:29" ht="12" customHeight="1" x14ac:dyDescent="0.2">
      <c r="A123" s="24"/>
      <c r="B123" s="93" t="s">
        <v>40</v>
      </c>
      <c r="C123" s="190" t="s">
        <v>41</v>
      </c>
      <c r="D123" s="25">
        <v>55</v>
      </c>
      <c r="E123" s="25">
        <f>C2</f>
        <v>43.81</v>
      </c>
      <c r="F123" s="25"/>
      <c r="G123" s="25"/>
      <c r="H123" s="26">
        <f>ROUND((D123*E123/1000),3)</f>
        <v>2.41</v>
      </c>
      <c r="I123" s="95">
        <v>67</v>
      </c>
      <c r="J123" s="26">
        <f>C2</f>
        <v>43.81</v>
      </c>
      <c r="K123" s="25"/>
      <c r="L123" s="25"/>
      <c r="M123" s="26">
        <f>ROUND((I123*J123/1000),3)</f>
        <v>2.9350000000000001</v>
      </c>
      <c r="N123" s="26">
        <v>54</v>
      </c>
      <c r="O123" s="26">
        <f>D2</f>
        <v>51.02</v>
      </c>
      <c r="P123" s="25"/>
      <c r="Q123" s="25"/>
      <c r="R123" s="26">
        <f>ROUND((N123*O123/1000),3)</f>
        <v>2.7549999999999999</v>
      </c>
      <c r="S123" s="26">
        <v>48</v>
      </c>
      <c r="T123" s="26">
        <f>D2</f>
        <v>51.02</v>
      </c>
      <c r="U123" s="25"/>
      <c r="V123" s="25"/>
      <c r="W123" s="26">
        <f>ROUND((S123*T123/1000),3)</f>
        <v>2.4489999999999998</v>
      </c>
      <c r="X123" s="26">
        <f>D123+I123+N123+S123</f>
        <v>224</v>
      </c>
      <c r="Y123" s="26"/>
      <c r="Z123" s="26">
        <f>H123+M123+R123+W123</f>
        <v>10.549000000000001</v>
      </c>
      <c r="AA123" s="96"/>
      <c r="AB123" s="15">
        <v>291</v>
      </c>
      <c r="AC123" s="15">
        <v>212</v>
      </c>
    </row>
    <row r="124" spans="1:29" ht="12" customHeight="1" x14ac:dyDescent="0.2">
      <c r="A124" s="24" t="s">
        <v>183</v>
      </c>
      <c r="B124" s="142" t="s">
        <v>377</v>
      </c>
      <c r="C124" s="190"/>
      <c r="D124" s="25"/>
      <c r="E124" s="25"/>
      <c r="F124" s="25"/>
      <c r="G124" s="25"/>
      <c r="H124" s="26"/>
      <c r="I124" s="95"/>
      <c r="J124" s="26"/>
      <c r="K124" s="25"/>
      <c r="L124" s="25"/>
      <c r="M124" s="26"/>
      <c r="N124" s="26"/>
      <c r="O124" s="26"/>
      <c r="P124" s="25"/>
      <c r="Q124" s="25"/>
      <c r="R124" s="26"/>
      <c r="S124" s="26"/>
      <c r="T124" s="26"/>
      <c r="U124" s="25"/>
      <c r="V124" s="25"/>
      <c r="W124" s="26"/>
      <c r="X124" s="26"/>
      <c r="Y124" s="26"/>
      <c r="Z124" s="26"/>
      <c r="AA124" s="60"/>
    </row>
    <row r="125" spans="1:29" ht="12" customHeight="1" x14ac:dyDescent="0.2">
      <c r="A125" s="24"/>
      <c r="B125" s="93" t="s">
        <v>64</v>
      </c>
      <c r="C125" s="190" t="s">
        <v>41</v>
      </c>
      <c r="D125" s="25">
        <v>101</v>
      </c>
      <c r="E125" s="25">
        <f>C2</f>
        <v>43.81</v>
      </c>
      <c r="F125" s="25"/>
      <c r="G125" s="25"/>
      <c r="H125" s="26">
        <f>ROUND((D125*E125/1000),3)</f>
        <v>4.4249999999999998</v>
      </c>
      <c r="I125" s="95">
        <v>92</v>
      </c>
      <c r="J125" s="26">
        <f>C2</f>
        <v>43.81</v>
      </c>
      <c r="K125" s="25"/>
      <c r="L125" s="25"/>
      <c r="M125" s="26">
        <f>ROUND((I125*J125/1000),3)</f>
        <v>4.0309999999999997</v>
      </c>
      <c r="N125" s="26">
        <v>105</v>
      </c>
      <c r="O125" s="26">
        <f>D2</f>
        <v>51.02</v>
      </c>
      <c r="P125" s="25"/>
      <c r="Q125" s="25"/>
      <c r="R125" s="26">
        <f>ROUND((N125*O125/1000),3)</f>
        <v>5.3570000000000002</v>
      </c>
      <c r="S125" s="26">
        <v>115</v>
      </c>
      <c r="T125" s="26">
        <f>D2</f>
        <v>51.02</v>
      </c>
      <c r="U125" s="25"/>
      <c r="V125" s="25"/>
      <c r="W125" s="26">
        <f>ROUND((S125*T125/1000),3)</f>
        <v>5.867</v>
      </c>
      <c r="X125" s="26">
        <f>D125+I125+N125+S125</f>
        <v>413</v>
      </c>
      <c r="Y125" s="26"/>
      <c r="Z125" s="26">
        <f>H125+M125+R125+W125</f>
        <v>19.68</v>
      </c>
      <c r="AA125" s="96"/>
      <c r="AB125" s="15">
        <v>471.3</v>
      </c>
      <c r="AC125" s="16">
        <v>355</v>
      </c>
    </row>
    <row r="126" spans="1:29" ht="12" customHeight="1" x14ac:dyDescent="0.2">
      <c r="A126" s="24" t="s">
        <v>184</v>
      </c>
      <c r="B126" s="142" t="s">
        <v>357</v>
      </c>
      <c r="C126" s="190"/>
      <c r="D126" s="25"/>
      <c r="E126" s="25"/>
      <c r="F126" s="25"/>
      <c r="G126" s="25"/>
      <c r="H126" s="26"/>
      <c r="I126" s="95"/>
      <c r="J126" s="26"/>
      <c r="K126" s="25"/>
      <c r="L126" s="25"/>
      <c r="M126" s="26"/>
      <c r="N126" s="26"/>
      <c r="O126" s="26"/>
      <c r="P126" s="25"/>
      <c r="Q126" s="25"/>
      <c r="R126" s="26"/>
      <c r="S126" s="26"/>
      <c r="T126" s="26"/>
      <c r="U126" s="25"/>
      <c r="V126" s="25"/>
      <c r="W126" s="26"/>
      <c r="X126" s="26"/>
      <c r="Y126" s="26"/>
      <c r="Z126" s="26"/>
      <c r="AA126" s="96"/>
    </row>
    <row r="127" spans="1:29" ht="12" customHeight="1" x14ac:dyDescent="0.2">
      <c r="A127" s="24"/>
      <c r="B127" s="93" t="s">
        <v>64</v>
      </c>
      <c r="C127" s="190" t="s">
        <v>101</v>
      </c>
      <c r="D127" s="25">
        <v>229</v>
      </c>
      <c r="E127" s="25">
        <f>C6</f>
        <v>35.32</v>
      </c>
      <c r="F127" s="25"/>
      <c r="G127" s="25"/>
      <c r="H127" s="26">
        <f>ROUND((D127*E127/1000),3)</f>
        <v>8.0879999999999992</v>
      </c>
      <c r="I127" s="95">
        <v>185</v>
      </c>
      <c r="J127" s="26">
        <f>C6</f>
        <v>35.32</v>
      </c>
      <c r="K127" s="25"/>
      <c r="L127" s="25"/>
      <c r="M127" s="26">
        <f>ROUND((I127*J127/1000),3)</f>
        <v>6.5339999999999998</v>
      </c>
      <c r="N127" s="26">
        <v>132</v>
      </c>
      <c r="O127" s="26">
        <f>D6</f>
        <v>35.32</v>
      </c>
      <c r="P127" s="25"/>
      <c r="Q127" s="25"/>
      <c r="R127" s="26">
        <f>ROUND((N127*O127/1000),3)</f>
        <v>4.6619999999999999</v>
      </c>
      <c r="S127" s="26">
        <v>183</v>
      </c>
      <c r="T127" s="26">
        <f>D6</f>
        <v>35.32</v>
      </c>
      <c r="U127" s="25"/>
      <c r="V127" s="25"/>
      <c r="W127" s="26">
        <f>ROUND((S127*T127/1000),3)</f>
        <v>6.4640000000000004</v>
      </c>
      <c r="X127" s="26">
        <f>D127+I127+N127+S127</f>
        <v>729</v>
      </c>
      <c r="Y127" s="26"/>
      <c r="Z127" s="26">
        <f>H127+M127+R127+W127</f>
        <v>25.747999999999998</v>
      </c>
      <c r="AA127" s="96"/>
      <c r="AB127" s="15">
        <v>659</v>
      </c>
      <c r="AC127" s="16">
        <v>564</v>
      </c>
    </row>
    <row r="128" spans="1:29" ht="11.85" customHeight="1" x14ac:dyDescent="0.2">
      <c r="A128" s="24"/>
      <c r="B128" s="227" t="s">
        <v>30</v>
      </c>
      <c r="C128" s="190" t="s">
        <v>29</v>
      </c>
      <c r="D128" s="25">
        <v>152.9</v>
      </c>
      <c r="E128" s="26">
        <v>49.58</v>
      </c>
      <c r="F128" s="26">
        <v>12.05</v>
      </c>
      <c r="G128" s="224">
        <v>4697.71</v>
      </c>
      <c r="H128" s="26">
        <f>((G128*F128+E128*D128)/1000)</f>
        <v>64.188187499999998</v>
      </c>
      <c r="I128" s="95">
        <v>150.69999999999999</v>
      </c>
      <c r="J128" s="26">
        <v>49.58</v>
      </c>
      <c r="K128" s="26">
        <v>12.05</v>
      </c>
      <c r="L128" s="224">
        <v>4697.71</v>
      </c>
      <c r="M128" s="26">
        <f>((L128*K128+J128*I128)/1000)</f>
        <v>64.079111499999996</v>
      </c>
      <c r="N128" s="26">
        <v>138.5</v>
      </c>
      <c r="O128" s="26">
        <v>53.77</v>
      </c>
      <c r="P128" s="26">
        <v>12.05</v>
      </c>
      <c r="Q128" s="26">
        <v>5146.84</v>
      </c>
      <c r="R128" s="26">
        <f>((Q128*P128+O128*N128)/1000)</f>
        <v>69.466567000000012</v>
      </c>
      <c r="S128" s="26">
        <v>155.1</v>
      </c>
      <c r="T128" s="26">
        <v>53.77</v>
      </c>
      <c r="U128" s="26">
        <v>12.05</v>
      </c>
      <c r="V128" s="26">
        <v>5146.84</v>
      </c>
      <c r="W128" s="26">
        <f>((V128*U128+T128*S128)/1000)</f>
        <v>70.359149000000002</v>
      </c>
      <c r="X128" s="26">
        <f>D128+I128+N128+S128</f>
        <v>597.20000000000005</v>
      </c>
      <c r="Y128" s="26">
        <f t="shared" ref="Y128:Y173" si="6">F128+K128+P128+U128</f>
        <v>48.2</v>
      </c>
      <c r="Z128" s="26">
        <f>H128+M128+R128+W128</f>
        <v>268.09301499999998</v>
      </c>
      <c r="AA128" s="96"/>
      <c r="AB128" s="15">
        <v>439</v>
      </c>
      <c r="AC128" s="15">
        <v>597.20000000000005</v>
      </c>
    </row>
    <row r="129" spans="1:29" ht="11.85" customHeight="1" x14ac:dyDescent="0.2">
      <c r="A129" s="24" t="s">
        <v>185</v>
      </c>
      <c r="B129" s="142" t="s">
        <v>380</v>
      </c>
      <c r="C129" s="190"/>
      <c r="D129" s="25"/>
      <c r="E129" s="26"/>
      <c r="F129" s="26"/>
      <c r="G129" s="26"/>
      <c r="H129" s="26"/>
      <c r="I129" s="95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96"/>
    </row>
    <row r="130" spans="1:29" ht="11.85" customHeight="1" x14ac:dyDescent="0.2">
      <c r="A130" s="24"/>
      <c r="B130" s="144" t="s">
        <v>99</v>
      </c>
      <c r="C130" s="190" t="s">
        <v>38</v>
      </c>
      <c r="D130" s="25">
        <v>22</v>
      </c>
      <c r="E130" s="26">
        <f>C1</f>
        <v>42.67</v>
      </c>
      <c r="F130" s="26"/>
      <c r="G130" s="26"/>
      <c r="H130" s="26">
        <f>ROUND((D130*E130/1000),3)</f>
        <v>0.93899999999999995</v>
      </c>
      <c r="I130" s="97">
        <v>23</v>
      </c>
      <c r="J130" s="26">
        <f>C1</f>
        <v>42.67</v>
      </c>
      <c r="K130" s="26"/>
      <c r="L130" s="26"/>
      <c r="M130" s="26">
        <f>ROUND((I130*J130/1000),3)</f>
        <v>0.98099999999999998</v>
      </c>
      <c r="N130" s="25">
        <v>28</v>
      </c>
      <c r="O130" s="26">
        <f>D1</f>
        <v>44.63</v>
      </c>
      <c r="P130" s="26"/>
      <c r="Q130" s="26"/>
      <c r="R130" s="26">
        <f>ROUND((N130*O130/1000),3)</f>
        <v>1.25</v>
      </c>
      <c r="S130" s="25">
        <v>28</v>
      </c>
      <c r="T130" s="26">
        <f>D1</f>
        <v>44.63</v>
      </c>
      <c r="U130" s="26"/>
      <c r="V130" s="26"/>
      <c r="W130" s="26">
        <f>ROUND((S130*T130/1000),3)</f>
        <v>1.25</v>
      </c>
      <c r="X130" s="26">
        <f>D130+I130+N130+S130</f>
        <v>101</v>
      </c>
      <c r="Y130" s="26"/>
      <c r="Z130" s="26">
        <f>H130+M130+R130+W130</f>
        <v>4.42</v>
      </c>
      <c r="AA130" s="96"/>
      <c r="AB130" s="15">
        <v>105</v>
      </c>
      <c r="AC130" s="15">
        <v>93</v>
      </c>
    </row>
    <row r="131" spans="1:29" ht="12" customHeight="1" x14ac:dyDescent="0.2">
      <c r="A131" s="24" t="s">
        <v>186</v>
      </c>
      <c r="B131" s="142" t="s">
        <v>396</v>
      </c>
      <c r="C131" s="190"/>
      <c r="D131" s="25"/>
      <c r="E131" s="25"/>
      <c r="F131" s="25"/>
      <c r="G131" s="25"/>
      <c r="H131" s="26"/>
      <c r="I131" s="95"/>
      <c r="J131" s="26"/>
      <c r="K131" s="25"/>
      <c r="L131" s="25"/>
      <c r="M131" s="26"/>
      <c r="N131" s="26"/>
      <c r="O131" s="26"/>
      <c r="P131" s="25"/>
      <c r="Q131" s="25"/>
      <c r="R131" s="26"/>
      <c r="S131" s="26"/>
      <c r="T131" s="26"/>
      <c r="U131" s="25"/>
      <c r="V131" s="25"/>
      <c r="W131" s="26"/>
      <c r="X131" s="26"/>
      <c r="Y131" s="26"/>
      <c r="Z131" s="26"/>
      <c r="AA131" s="96"/>
    </row>
    <row r="132" spans="1:29" ht="12" customHeight="1" x14ac:dyDescent="0.2">
      <c r="A132" s="24"/>
      <c r="B132" s="93" t="s">
        <v>64</v>
      </c>
      <c r="C132" s="190" t="s">
        <v>41</v>
      </c>
      <c r="D132" s="25">
        <v>45</v>
      </c>
      <c r="E132" s="25">
        <f>C2</f>
        <v>43.81</v>
      </c>
      <c r="F132" s="25"/>
      <c r="G132" s="25"/>
      <c r="H132" s="26">
        <f>ROUND((D132*E132/1000),3)</f>
        <v>1.9710000000000001</v>
      </c>
      <c r="I132" s="95">
        <v>44</v>
      </c>
      <c r="J132" s="26">
        <f>C2</f>
        <v>43.81</v>
      </c>
      <c r="K132" s="25"/>
      <c r="L132" s="25"/>
      <c r="M132" s="26">
        <f>ROUND((I132*J132/1000),3)</f>
        <v>1.9279999999999999</v>
      </c>
      <c r="N132" s="26">
        <v>44</v>
      </c>
      <c r="O132" s="26">
        <f>D2</f>
        <v>51.02</v>
      </c>
      <c r="P132" s="25"/>
      <c r="Q132" s="25"/>
      <c r="R132" s="26">
        <f>ROUND((N132*O132/1000),3)</f>
        <v>2.2450000000000001</v>
      </c>
      <c r="S132" s="26">
        <v>45</v>
      </c>
      <c r="T132" s="26">
        <f>D2</f>
        <v>51.02</v>
      </c>
      <c r="U132" s="25"/>
      <c r="V132" s="25"/>
      <c r="W132" s="26">
        <f>ROUND((S132*T132/1000),3)</f>
        <v>2.2959999999999998</v>
      </c>
      <c r="X132" s="26">
        <f>D132+I132+N132+S132</f>
        <v>178</v>
      </c>
      <c r="Y132" s="26"/>
      <c r="Z132" s="26">
        <f>H132+M132+R132+W132</f>
        <v>8.44</v>
      </c>
      <c r="AA132" s="96"/>
      <c r="AB132" s="15">
        <v>178</v>
      </c>
      <c r="AC132" s="15">
        <v>178</v>
      </c>
    </row>
    <row r="133" spans="1:29" ht="12" customHeight="1" x14ac:dyDescent="0.2">
      <c r="A133" s="24"/>
      <c r="B133" s="140" t="s">
        <v>92</v>
      </c>
      <c r="C133" s="190" t="s">
        <v>41</v>
      </c>
      <c r="D133" s="25">
        <v>1.8</v>
      </c>
      <c r="E133" s="26">
        <f>H8</f>
        <v>620</v>
      </c>
      <c r="F133" s="26"/>
      <c r="G133" s="26"/>
      <c r="H133" s="26">
        <f>ROUND((D133*E133/1000),3)</f>
        <v>1.1160000000000001</v>
      </c>
      <c r="I133" s="95">
        <v>1.8</v>
      </c>
      <c r="J133" s="26">
        <f>H8</f>
        <v>620</v>
      </c>
      <c r="K133" s="26"/>
      <c r="L133" s="26"/>
      <c r="M133" s="26">
        <f>ROUND((I133*J133/1000),3)</f>
        <v>1.1160000000000001</v>
      </c>
      <c r="N133" s="26">
        <v>1.8</v>
      </c>
      <c r="O133" s="26">
        <f>I8</f>
        <v>620</v>
      </c>
      <c r="P133" s="26"/>
      <c r="Q133" s="26"/>
      <c r="R133" s="26">
        <f>ROUND((N133*O133/1000),3)</f>
        <v>1.1160000000000001</v>
      </c>
      <c r="S133" s="26">
        <v>1.8</v>
      </c>
      <c r="T133" s="26">
        <f>I8</f>
        <v>620</v>
      </c>
      <c r="U133" s="26"/>
      <c r="V133" s="26"/>
      <c r="W133" s="26">
        <f>ROUND((S133*T133/1000),3)</f>
        <v>1.1160000000000001</v>
      </c>
      <c r="X133" s="26">
        <f>D133+I133+N133+S133</f>
        <v>7.2</v>
      </c>
      <c r="Y133" s="26"/>
      <c r="Z133" s="26">
        <f>H133+M133+R133+W133</f>
        <v>4.4640000000000004</v>
      </c>
      <c r="AA133" s="96"/>
      <c r="AB133" s="15">
        <v>7.2</v>
      </c>
      <c r="AC133" s="15">
        <v>7.2</v>
      </c>
    </row>
    <row r="134" spans="1:29" ht="12" customHeight="1" x14ac:dyDescent="0.2">
      <c r="A134" s="24" t="s">
        <v>187</v>
      </c>
      <c r="B134" s="142" t="s">
        <v>358</v>
      </c>
      <c r="C134" s="190"/>
      <c r="D134" s="25"/>
      <c r="E134" s="25"/>
      <c r="F134" s="25"/>
      <c r="G134" s="25"/>
      <c r="H134" s="26"/>
      <c r="I134" s="95"/>
      <c r="J134" s="26"/>
      <c r="K134" s="25"/>
      <c r="L134" s="25"/>
      <c r="M134" s="26"/>
      <c r="N134" s="26"/>
      <c r="O134" s="26"/>
      <c r="P134" s="25"/>
      <c r="Q134" s="25"/>
      <c r="R134" s="26"/>
      <c r="S134" s="26"/>
      <c r="T134" s="26"/>
      <c r="U134" s="25"/>
      <c r="V134" s="25"/>
      <c r="W134" s="26"/>
      <c r="X134" s="26"/>
      <c r="Y134" s="26"/>
      <c r="Z134" s="26"/>
      <c r="AA134" s="96"/>
    </row>
    <row r="135" spans="1:29" ht="12" customHeight="1" x14ac:dyDescent="0.2">
      <c r="A135" s="24"/>
      <c r="B135" s="93" t="s">
        <v>64</v>
      </c>
      <c r="C135" s="190" t="s">
        <v>41</v>
      </c>
      <c r="D135" s="25">
        <v>492</v>
      </c>
      <c r="E135" s="25">
        <f>C2</f>
        <v>43.81</v>
      </c>
      <c r="F135" s="25"/>
      <c r="G135" s="25"/>
      <c r="H135" s="26">
        <f>ROUND((D135*E135/1000),3)</f>
        <v>21.555</v>
      </c>
      <c r="I135" s="95">
        <v>536</v>
      </c>
      <c r="J135" s="26">
        <f>C2</f>
        <v>43.81</v>
      </c>
      <c r="K135" s="25"/>
      <c r="L135" s="25"/>
      <c r="M135" s="26">
        <f>ROUND((I135*J135/1000),3)</f>
        <v>23.481999999999999</v>
      </c>
      <c r="N135" s="26">
        <v>546</v>
      </c>
      <c r="O135" s="26">
        <f>D2</f>
        <v>51.02</v>
      </c>
      <c r="P135" s="25"/>
      <c r="Q135" s="25"/>
      <c r="R135" s="26">
        <f>ROUND((N135*O135/1000),3)</f>
        <v>27.856999999999999</v>
      </c>
      <c r="S135" s="26">
        <v>467</v>
      </c>
      <c r="T135" s="26">
        <f>D2</f>
        <v>51.02</v>
      </c>
      <c r="U135" s="25"/>
      <c r="V135" s="25"/>
      <c r="W135" s="26">
        <f>ROUND((S135*T135/1000),3)</f>
        <v>23.826000000000001</v>
      </c>
      <c r="X135" s="26">
        <f>D135+I135+N135+S135</f>
        <v>2041</v>
      </c>
      <c r="Y135" s="26"/>
      <c r="Z135" s="26">
        <f>H135+M135+R135+W135</f>
        <v>96.72</v>
      </c>
      <c r="AA135" s="96"/>
      <c r="AB135" s="15">
        <v>1934</v>
      </c>
      <c r="AC135" s="16">
        <v>1641</v>
      </c>
    </row>
    <row r="136" spans="1:29" ht="12" customHeight="1" x14ac:dyDescent="0.2">
      <c r="A136" s="24"/>
      <c r="B136" s="140" t="s">
        <v>92</v>
      </c>
      <c r="C136" s="190" t="s">
        <v>41</v>
      </c>
      <c r="D136" s="25">
        <v>333.8</v>
      </c>
      <c r="E136" s="26">
        <f>H8</f>
        <v>620</v>
      </c>
      <c r="F136" s="26"/>
      <c r="G136" s="26"/>
      <c r="H136" s="26">
        <f>ROUND((D136*E136/1000),3)</f>
        <v>206.95599999999999</v>
      </c>
      <c r="I136" s="95">
        <v>554.6</v>
      </c>
      <c r="J136" s="26">
        <f>H8</f>
        <v>620</v>
      </c>
      <c r="K136" s="26"/>
      <c r="L136" s="26"/>
      <c r="M136" s="26">
        <f>ROUND((I136*J136/1000),3)</f>
        <v>343.85199999999998</v>
      </c>
      <c r="N136" s="26">
        <v>624.20000000000005</v>
      </c>
      <c r="O136" s="26">
        <f>I8</f>
        <v>620</v>
      </c>
      <c r="P136" s="26"/>
      <c r="Q136" s="26"/>
      <c r="R136" s="26">
        <f>ROUND((N136*O136/1000),3)</f>
        <v>387.00400000000002</v>
      </c>
      <c r="S136" s="26">
        <v>625.20000000000005</v>
      </c>
      <c r="T136" s="26">
        <v>543</v>
      </c>
      <c r="U136" s="26"/>
      <c r="V136" s="26"/>
      <c r="W136" s="26">
        <f>ROUND((S136*T136/1000),3)</f>
        <v>339.48399999999998</v>
      </c>
      <c r="X136" s="26">
        <f>D136+I136+N136+S136</f>
        <v>2137.8000000000002</v>
      </c>
      <c r="Y136" s="26"/>
      <c r="Z136" s="26">
        <f>H136+M136+R136+W136</f>
        <v>1277.296</v>
      </c>
      <c r="AA136" s="96"/>
      <c r="AB136" s="15">
        <v>2152</v>
      </c>
      <c r="AC136" s="15">
        <v>2278.6</v>
      </c>
    </row>
    <row r="137" spans="1:29" ht="12" customHeight="1" x14ac:dyDescent="0.2">
      <c r="A137" s="24" t="s">
        <v>188</v>
      </c>
      <c r="B137" s="93" t="s">
        <v>307</v>
      </c>
      <c r="C137" s="190"/>
      <c r="D137" s="25"/>
      <c r="E137" s="26"/>
      <c r="F137" s="26"/>
      <c r="G137" s="26"/>
      <c r="H137" s="26"/>
      <c r="I137" s="97"/>
      <c r="J137" s="26"/>
      <c r="K137" s="26"/>
      <c r="L137" s="26"/>
      <c r="M137" s="26"/>
      <c r="N137" s="25"/>
      <c r="O137" s="26"/>
      <c r="P137" s="26"/>
      <c r="Q137" s="26"/>
      <c r="R137" s="26"/>
      <c r="S137" s="25"/>
      <c r="T137" s="26"/>
      <c r="U137" s="26"/>
      <c r="V137" s="26"/>
      <c r="W137" s="26"/>
      <c r="X137" s="26"/>
      <c r="Y137" s="26"/>
      <c r="Z137" s="26"/>
      <c r="AA137" s="96"/>
    </row>
    <row r="138" spans="1:29" ht="12" customHeight="1" x14ac:dyDescent="0.2">
      <c r="A138" s="24"/>
      <c r="B138" s="93" t="s">
        <v>64</v>
      </c>
      <c r="C138" s="190" t="s">
        <v>38</v>
      </c>
      <c r="D138" s="25">
        <v>443</v>
      </c>
      <c r="E138" s="26">
        <f>C1</f>
        <v>42.67</v>
      </c>
      <c r="F138" s="26"/>
      <c r="G138" s="26"/>
      <c r="H138" s="26">
        <f>ROUND((D138*E138/1000),3)</f>
        <v>18.902999999999999</v>
      </c>
      <c r="I138" s="97">
        <v>429</v>
      </c>
      <c r="J138" s="26">
        <f>C1</f>
        <v>42.67</v>
      </c>
      <c r="K138" s="26"/>
      <c r="L138" s="26"/>
      <c r="M138" s="26">
        <f>ROUND((I138*J138/1000),3)</f>
        <v>18.305</v>
      </c>
      <c r="N138" s="25">
        <v>801</v>
      </c>
      <c r="O138" s="26">
        <f>D1</f>
        <v>44.63</v>
      </c>
      <c r="P138" s="26"/>
      <c r="Q138" s="26"/>
      <c r="R138" s="26">
        <f>ROUND((N138*O138/1000),3)</f>
        <v>35.749000000000002</v>
      </c>
      <c r="S138" s="25">
        <v>645</v>
      </c>
      <c r="T138" s="26">
        <f>D1</f>
        <v>44.63</v>
      </c>
      <c r="U138" s="26"/>
      <c r="V138" s="26"/>
      <c r="W138" s="26">
        <f>ROUND((S138*T138/1000),3)</f>
        <v>28.786000000000001</v>
      </c>
      <c r="X138" s="26">
        <f>D138+I138+N138+S138</f>
        <v>2318</v>
      </c>
      <c r="Y138" s="26"/>
      <c r="Z138" s="26">
        <f>H138+M138+R138+W138</f>
        <v>101.74299999999999</v>
      </c>
      <c r="AA138" s="96"/>
      <c r="AB138" s="15">
        <v>1468</v>
      </c>
      <c r="AC138" s="15">
        <v>1534</v>
      </c>
    </row>
    <row r="139" spans="1:29" ht="12" customHeight="1" x14ac:dyDescent="0.2">
      <c r="A139" s="24"/>
      <c r="B139" s="93" t="s">
        <v>43</v>
      </c>
      <c r="C139" s="190" t="s">
        <v>39</v>
      </c>
      <c r="D139" s="25">
        <f>D138</f>
        <v>443</v>
      </c>
      <c r="E139" s="26">
        <f>H5</f>
        <v>68.56</v>
      </c>
      <c r="F139" s="26"/>
      <c r="G139" s="26"/>
      <c r="H139" s="26">
        <f>ROUND((D139*E139/1000),3)</f>
        <v>30.372</v>
      </c>
      <c r="I139" s="97">
        <f>I138</f>
        <v>429</v>
      </c>
      <c r="J139" s="26">
        <f>H5</f>
        <v>68.56</v>
      </c>
      <c r="K139" s="26"/>
      <c r="L139" s="26"/>
      <c r="M139" s="26">
        <f>ROUND((I139*J139/1000),3)</f>
        <v>29.411999999999999</v>
      </c>
      <c r="N139" s="25">
        <f>N138</f>
        <v>801</v>
      </c>
      <c r="O139" s="26">
        <f>I5</f>
        <v>78.45</v>
      </c>
      <c r="P139" s="26"/>
      <c r="Q139" s="26"/>
      <c r="R139" s="26">
        <f>ROUND((N139*O139/1000),3)</f>
        <v>62.838000000000001</v>
      </c>
      <c r="S139" s="25">
        <f>S138</f>
        <v>645</v>
      </c>
      <c r="T139" s="26">
        <f>I5</f>
        <v>78.45</v>
      </c>
      <c r="U139" s="26"/>
      <c r="V139" s="26"/>
      <c r="W139" s="26">
        <f>ROUND((S139*T139/1000),3)</f>
        <v>50.6</v>
      </c>
      <c r="X139" s="26">
        <f>D139+I139+N139+S139</f>
        <v>2318</v>
      </c>
      <c r="Y139" s="26"/>
      <c r="Z139" s="26">
        <f>H139+M139+R139+W139</f>
        <v>173.22200000000001</v>
      </c>
      <c r="AA139" s="96"/>
      <c r="AB139" s="15">
        <v>1468</v>
      </c>
      <c r="AC139" s="15">
        <v>1534</v>
      </c>
    </row>
    <row r="140" spans="1:29" ht="12" customHeight="1" x14ac:dyDescent="0.2">
      <c r="A140" s="24"/>
      <c r="B140" s="140" t="s">
        <v>92</v>
      </c>
      <c r="C140" s="190" t="s">
        <v>44</v>
      </c>
      <c r="D140" s="25">
        <v>316</v>
      </c>
      <c r="E140" s="26">
        <f>C8</f>
        <v>410.28</v>
      </c>
      <c r="F140" s="26"/>
      <c r="G140" s="26"/>
      <c r="H140" s="26">
        <f>ROUND((D140*E140/1000),3)</f>
        <v>129.648</v>
      </c>
      <c r="I140" s="95">
        <v>721</v>
      </c>
      <c r="J140" s="26">
        <f>C8</f>
        <v>410.28</v>
      </c>
      <c r="K140" s="26"/>
      <c r="L140" s="26"/>
      <c r="M140" s="26">
        <f>ROUND((I140*J140/1000),3)</f>
        <v>295.81200000000001</v>
      </c>
      <c r="N140" s="26">
        <v>339</v>
      </c>
      <c r="O140" s="26">
        <f>D8</f>
        <v>410.28</v>
      </c>
      <c r="P140" s="26"/>
      <c r="Q140" s="26"/>
      <c r="R140" s="26">
        <f>ROUND((N140*O140/1000),3)</f>
        <v>139.08500000000001</v>
      </c>
      <c r="S140" s="26">
        <v>805</v>
      </c>
      <c r="T140" s="26">
        <f>D8</f>
        <v>410.28</v>
      </c>
      <c r="U140" s="26"/>
      <c r="V140" s="26"/>
      <c r="W140" s="26">
        <f>ROUND((S140*T140/1000),3)</f>
        <v>330.27499999999998</v>
      </c>
      <c r="X140" s="26">
        <f>D140+I140+N140+S140</f>
        <v>2181</v>
      </c>
      <c r="Y140" s="26"/>
      <c r="Z140" s="26">
        <f>H140+M140+R140+W140</f>
        <v>894.82</v>
      </c>
      <c r="AA140" s="96"/>
      <c r="AB140" s="15">
        <v>2088.6400000000003</v>
      </c>
      <c r="AC140" s="15">
        <v>2300</v>
      </c>
    </row>
    <row r="141" spans="1:29" ht="12" customHeight="1" x14ac:dyDescent="0.2">
      <c r="A141" s="24" t="s">
        <v>189</v>
      </c>
      <c r="B141" s="27" t="s">
        <v>308</v>
      </c>
      <c r="C141" s="190"/>
      <c r="D141" s="25"/>
      <c r="E141" s="26"/>
      <c r="F141" s="26"/>
      <c r="G141" s="26"/>
      <c r="H141" s="26"/>
      <c r="I141" s="97"/>
      <c r="J141" s="26"/>
      <c r="K141" s="26"/>
      <c r="L141" s="26"/>
      <c r="M141" s="26"/>
      <c r="N141" s="25"/>
      <c r="O141" s="26"/>
      <c r="P141" s="26"/>
      <c r="Q141" s="26"/>
      <c r="R141" s="26"/>
      <c r="S141" s="25"/>
      <c r="T141" s="26"/>
      <c r="U141" s="26"/>
      <c r="V141" s="26"/>
      <c r="W141" s="26"/>
      <c r="X141" s="26"/>
      <c r="Y141" s="26"/>
      <c r="Z141" s="26"/>
      <c r="AA141" s="96"/>
    </row>
    <row r="142" spans="1:29" ht="12" customHeight="1" x14ac:dyDescent="0.2">
      <c r="A142" s="24"/>
      <c r="B142" s="93" t="s">
        <v>64</v>
      </c>
      <c r="C142" s="190" t="s">
        <v>38</v>
      </c>
      <c r="D142" s="25">
        <v>404</v>
      </c>
      <c r="E142" s="26">
        <f>C1</f>
        <v>42.67</v>
      </c>
      <c r="F142" s="26"/>
      <c r="G142" s="26"/>
      <c r="H142" s="26">
        <f>ROUND((D142*E142/1000),3)</f>
        <v>17.239000000000001</v>
      </c>
      <c r="I142" s="97">
        <v>343</v>
      </c>
      <c r="J142" s="26">
        <f>C1</f>
        <v>42.67</v>
      </c>
      <c r="K142" s="26"/>
      <c r="L142" s="26"/>
      <c r="M142" s="26">
        <f>ROUND((I142*J142/1000),3)</f>
        <v>14.635999999999999</v>
      </c>
      <c r="N142" s="25">
        <v>391.5</v>
      </c>
      <c r="O142" s="26">
        <f>D1</f>
        <v>44.63</v>
      </c>
      <c r="P142" s="26"/>
      <c r="Q142" s="26"/>
      <c r="R142" s="26">
        <f>ROUND((N142*O142/1000),3)</f>
        <v>17.472999999999999</v>
      </c>
      <c r="S142" s="25">
        <v>303</v>
      </c>
      <c r="T142" s="26">
        <f>D1</f>
        <v>44.63</v>
      </c>
      <c r="U142" s="26"/>
      <c r="V142" s="26"/>
      <c r="W142" s="26">
        <f>ROUND((S142*T142/1000),3)</f>
        <v>13.523</v>
      </c>
      <c r="X142" s="26">
        <f>D142+I142+N142+S142</f>
        <v>1441.5</v>
      </c>
      <c r="Y142" s="26"/>
      <c r="Z142" s="26">
        <f>H142+M142+R142+W142</f>
        <v>62.870999999999995</v>
      </c>
      <c r="AA142" s="96"/>
      <c r="AB142" s="15">
        <v>3446</v>
      </c>
      <c r="AC142" s="16">
        <v>2139</v>
      </c>
    </row>
    <row r="143" spans="1:29" ht="12" customHeight="1" x14ac:dyDescent="0.2">
      <c r="A143" s="24"/>
      <c r="B143" s="227" t="s">
        <v>30</v>
      </c>
      <c r="C143" s="190" t="s">
        <v>29</v>
      </c>
      <c r="D143" s="25">
        <v>4.8</v>
      </c>
      <c r="E143" s="26">
        <v>49.58</v>
      </c>
      <c r="F143" s="26">
        <v>6.75</v>
      </c>
      <c r="G143" s="224">
        <v>4697.71</v>
      </c>
      <c r="H143" s="26">
        <f>((G143*F143+E143*D143)/1000)</f>
        <v>31.947526499999999</v>
      </c>
      <c r="I143" s="95">
        <v>136.5</v>
      </c>
      <c r="J143" s="26">
        <v>49.58</v>
      </c>
      <c r="K143" s="26">
        <v>6.75</v>
      </c>
      <c r="L143" s="224">
        <v>4697.71</v>
      </c>
      <c r="M143" s="26">
        <f>((L143*K143+J143*I143)/1000)</f>
        <v>38.4772125</v>
      </c>
      <c r="N143" s="26">
        <v>74.2</v>
      </c>
      <c r="O143" s="26">
        <v>53.77</v>
      </c>
      <c r="P143" s="26">
        <v>6.75</v>
      </c>
      <c r="Q143" s="26">
        <v>5146.84</v>
      </c>
      <c r="R143" s="26">
        <f>((Q143*P143+O143*N143)/1000)</f>
        <v>38.730903999999995</v>
      </c>
      <c r="S143" s="26">
        <v>190.7</v>
      </c>
      <c r="T143" s="26">
        <v>53.77</v>
      </c>
      <c r="U143" s="26">
        <v>6.75</v>
      </c>
      <c r="V143" s="26">
        <v>5146.84</v>
      </c>
      <c r="W143" s="26">
        <f>((V143*U143+T143*S143)/1000)</f>
        <v>44.995108999999999</v>
      </c>
      <c r="X143" s="26">
        <f>D143+I143+N143+S143</f>
        <v>406.2</v>
      </c>
      <c r="Y143" s="26">
        <f t="shared" si="6"/>
        <v>27</v>
      </c>
      <c r="Z143" s="26">
        <f>H143+M143+R143+W143</f>
        <v>154.15075200000001</v>
      </c>
      <c r="AA143" s="96"/>
      <c r="AB143" s="15">
        <v>768</v>
      </c>
      <c r="AC143" s="16">
        <v>348</v>
      </c>
    </row>
    <row r="144" spans="1:29" ht="12" customHeight="1" x14ac:dyDescent="0.2">
      <c r="A144" s="24"/>
      <c r="B144" s="93" t="s">
        <v>43</v>
      </c>
      <c r="C144" s="190" t="s">
        <v>39</v>
      </c>
      <c r="D144" s="25">
        <v>1650</v>
      </c>
      <c r="E144" s="26">
        <f>H5</f>
        <v>68.56</v>
      </c>
      <c r="F144" s="26"/>
      <c r="G144" s="26"/>
      <c r="H144" s="26">
        <f>ROUND((D144*E144/1000),3)</f>
        <v>113.124</v>
      </c>
      <c r="I144" s="97">
        <v>1650</v>
      </c>
      <c r="J144" s="26">
        <f>H5</f>
        <v>68.56</v>
      </c>
      <c r="K144" s="26"/>
      <c r="L144" s="26"/>
      <c r="M144" s="26">
        <f>ROUND((I144*J144/1000),3)</f>
        <v>113.124</v>
      </c>
      <c r="N144" s="25">
        <v>5056.3999999999996</v>
      </c>
      <c r="O144" s="26">
        <f>I5</f>
        <v>78.45</v>
      </c>
      <c r="P144" s="26"/>
      <c r="Q144" s="26"/>
      <c r="R144" s="26">
        <v>72.5</v>
      </c>
      <c r="S144" s="25">
        <v>5056.3999999999996</v>
      </c>
      <c r="T144" s="26">
        <f>I5</f>
        <v>78.45</v>
      </c>
      <c r="U144" s="26"/>
      <c r="V144" s="26"/>
      <c r="W144" s="26">
        <f>ROUND((S144*T144/1000),3)</f>
        <v>396.67500000000001</v>
      </c>
      <c r="X144" s="26">
        <f>D144+I144+N144+S144</f>
        <v>13412.8</v>
      </c>
      <c r="Y144" s="26"/>
      <c r="Z144" s="26">
        <f>H144+M144+R144+W144</f>
        <v>695.423</v>
      </c>
      <c r="AA144" s="96"/>
      <c r="AB144" s="15">
        <v>4214</v>
      </c>
      <c r="AC144" s="16">
        <v>2487</v>
      </c>
    </row>
    <row r="145" spans="1:29" ht="12" customHeight="1" x14ac:dyDescent="0.2">
      <c r="A145" s="24"/>
      <c r="B145" s="140" t="s">
        <v>92</v>
      </c>
      <c r="C145" s="190" t="s">
        <v>44</v>
      </c>
      <c r="D145" s="25">
        <v>60</v>
      </c>
      <c r="E145" s="26">
        <f>C8</f>
        <v>410.28</v>
      </c>
      <c r="F145" s="26"/>
      <c r="G145" s="26"/>
      <c r="H145" s="26">
        <f>ROUND((D145*E145/1000),3)</f>
        <v>24.617000000000001</v>
      </c>
      <c r="I145" s="95">
        <v>60</v>
      </c>
      <c r="J145" s="26">
        <f>C8</f>
        <v>410.28</v>
      </c>
      <c r="K145" s="26"/>
      <c r="L145" s="26"/>
      <c r="M145" s="26">
        <f>ROUND((I145*J145/1000),3)</f>
        <v>24.617000000000001</v>
      </c>
      <c r="N145" s="26">
        <v>60</v>
      </c>
      <c r="O145" s="26">
        <f>D8</f>
        <v>410.28</v>
      </c>
      <c r="P145" s="26"/>
      <c r="Q145" s="26"/>
      <c r="R145" s="26">
        <f>ROUND((N145*O145/1000),3)</f>
        <v>24.617000000000001</v>
      </c>
      <c r="S145" s="26">
        <v>60</v>
      </c>
      <c r="T145" s="26">
        <f>D8</f>
        <v>410.28</v>
      </c>
      <c r="U145" s="26"/>
      <c r="V145" s="26"/>
      <c r="W145" s="26">
        <f>ROUND((S145*T145/1000),3)</f>
        <v>24.617000000000001</v>
      </c>
      <c r="X145" s="26">
        <f>D145+I145+N145+S145</f>
        <v>240</v>
      </c>
      <c r="Y145" s="26"/>
      <c r="Z145" s="26">
        <f>H145+M145+R145+W145</f>
        <v>98.468000000000004</v>
      </c>
      <c r="AA145" s="96"/>
      <c r="AB145" s="15">
        <v>1274.8</v>
      </c>
      <c r="AC145" s="16">
        <v>240</v>
      </c>
    </row>
    <row r="146" spans="1:29" ht="12" customHeight="1" x14ac:dyDescent="0.2">
      <c r="A146" s="24" t="s">
        <v>190</v>
      </c>
      <c r="B146" s="93" t="s">
        <v>309</v>
      </c>
      <c r="C146" s="190"/>
      <c r="D146" s="25"/>
      <c r="E146" s="26"/>
      <c r="F146" s="26"/>
      <c r="G146" s="26"/>
      <c r="H146" s="26"/>
      <c r="I146" s="97"/>
      <c r="J146" s="26"/>
      <c r="K146" s="26"/>
      <c r="L146" s="26"/>
      <c r="M146" s="26"/>
      <c r="N146" s="25"/>
      <c r="O146" s="26"/>
      <c r="P146" s="26"/>
      <c r="Q146" s="26"/>
      <c r="R146" s="26"/>
      <c r="S146" s="25"/>
      <c r="T146" s="26"/>
      <c r="U146" s="26"/>
      <c r="V146" s="26"/>
      <c r="W146" s="26"/>
      <c r="X146" s="26"/>
      <c r="Y146" s="26"/>
      <c r="Z146" s="26"/>
      <c r="AA146" s="96"/>
    </row>
    <row r="147" spans="1:29" ht="12" customHeight="1" x14ac:dyDescent="0.2">
      <c r="A147" s="24"/>
      <c r="B147" s="93" t="s">
        <v>64</v>
      </c>
      <c r="C147" s="190" t="s">
        <v>38</v>
      </c>
      <c r="D147" s="25">
        <v>182</v>
      </c>
      <c r="E147" s="26">
        <f>C1</f>
        <v>42.67</v>
      </c>
      <c r="F147" s="26"/>
      <c r="G147" s="26"/>
      <c r="H147" s="26">
        <f>ROUND((D147*E147/1000),3)</f>
        <v>7.766</v>
      </c>
      <c r="I147" s="97">
        <v>210</v>
      </c>
      <c r="J147" s="26">
        <f>C1</f>
        <v>42.67</v>
      </c>
      <c r="K147" s="26"/>
      <c r="L147" s="26"/>
      <c r="M147" s="26">
        <f>ROUND((I147*J147/1000),3)</f>
        <v>8.9610000000000003</v>
      </c>
      <c r="N147" s="25">
        <v>90</v>
      </c>
      <c r="O147" s="26">
        <f>D1</f>
        <v>44.63</v>
      </c>
      <c r="P147" s="26"/>
      <c r="Q147" s="26"/>
      <c r="R147" s="26">
        <f>ROUND((N147*O147/1000),3)</f>
        <v>4.0170000000000003</v>
      </c>
      <c r="S147" s="25">
        <v>281</v>
      </c>
      <c r="T147" s="26">
        <f>D1</f>
        <v>44.63</v>
      </c>
      <c r="U147" s="26"/>
      <c r="V147" s="26"/>
      <c r="W147" s="26">
        <f>ROUND((S147*T147/1000),3)</f>
        <v>12.541</v>
      </c>
      <c r="X147" s="26">
        <f>D147+I147+N147+S147</f>
        <v>763</v>
      </c>
      <c r="Y147" s="26"/>
      <c r="Z147" s="26">
        <f>H147+M147+R147+W147</f>
        <v>33.284999999999997</v>
      </c>
      <c r="AA147" s="96"/>
      <c r="AB147" s="15">
        <v>615</v>
      </c>
      <c r="AC147" s="16">
        <v>493</v>
      </c>
    </row>
    <row r="148" spans="1:29" ht="12" customHeight="1" x14ac:dyDescent="0.2">
      <c r="A148" s="24"/>
      <c r="B148" s="140" t="s">
        <v>92</v>
      </c>
      <c r="C148" s="190" t="s">
        <v>44</v>
      </c>
      <c r="D148" s="25">
        <v>47.4</v>
      </c>
      <c r="E148" s="26">
        <f>C8</f>
        <v>410.28</v>
      </c>
      <c r="F148" s="26"/>
      <c r="G148" s="26"/>
      <c r="H148" s="26">
        <f>ROUND((D148*E148/1000),3)</f>
        <v>19.446999999999999</v>
      </c>
      <c r="I148" s="95">
        <v>46.8</v>
      </c>
      <c r="J148" s="26">
        <f>C8</f>
        <v>410.28</v>
      </c>
      <c r="K148" s="26"/>
      <c r="L148" s="26"/>
      <c r="M148" s="26">
        <f>ROUND((I148*J148/1000),3)</f>
        <v>19.201000000000001</v>
      </c>
      <c r="N148" s="26">
        <v>125</v>
      </c>
      <c r="O148" s="26">
        <f>D8</f>
        <v>410.28</v>
      </c>
      <c r="P148" s="26"/>
      <c r="Q148" s="26"/>
      <c r="R148" s="26">
        <f>ROUND((N148*O148/1000),3)</f>
        <v>51.284999999999997</v>
      </c>
      <c r="S148" s="26">
        <v>64.8</v>
      </c>
      <c r="T148" s="26">
        <f>D8</f>
        <v>410.28</v>
      </c>
      <c r="U148" s="26"/>
      <c r="V148" s="26"/>
      <c r="W148" s="26">
        <f>ROUND((S148*T148/1000),3)</f>
        <v>26.585999999999999</v>
      </c>
      <c r="X148" s="26">
        <f>D148+I148+N148+S148</f>
        <v>284</v>
      </c>
      <c r="Y148" s="26"/>
      <c r="Z148" s="26">
        <f>H148+M148+R148+W148</f>
        <v>116.51899999999999</v>
      </c>
      <c r="AA148" s="96"/>
      <c r="AB148" s="15">
        <v>284</v>
      </c>
      <c r="AC148" s="15">
        <v>284</v>
      </c>
    </row>
    <row r="149" spans="1:29" ht="12" customHeight="1" x14ac:dyDescent="0.2">
      <c r="A149" s="24" t="s">
        <v>191</v>
      </c>
      <c r="B149" s="27" t="s">
        <v>310</v>
      </c>
      <c r="C149" s="190"/>
      <c r="D149" s="25"/>
      <c r="E149" s="25"/>
      <c r="F149" s="25"/>
      <c r="G149" s="25"/>
      <c r="H149" s="26"/>
      <c r="I149" s="97"/>
      <c r="J149" s="26"/>
      <c r="K149" s="25"/>
      <c r="L149" s="25"/>
      <c r="M149" s="26"/>
      <c r="N149" s="25"/>
      <c r="O149" s="26"/>
      <c r="P149" s="25"/>
      <c r="Q149" s="25"/>
      <c r="R149" s="26"/>
      <c r="S149" s="25"/>
      <c r="T149" s="26"/>
      <c r="U149" s="25"/>
      <c r="V149" s="25"/>
      <c r="W149" s="26"/>
      <c r="X149" s="26"/>
      <c r="Y149" s="26"/>
      <c r="Z149" s="26"/>
      <c r="AA149" s="96"/>
    </row>
    <row r="150" spans="1:29" ht="12" customHeight="1" x14ac:dyDescent="0.2">
      <c r="A150" s="24"/>
      <c r="B150" s="93" t="s">
        <v>64</v>
      </c>
      <c r="C150" s="190" t="s">
        <v>38</v>
      </c>
      <c r="D150" s="25">
        <v>107</v>
      </c>
      <c r="E150" s="26">
        <f>C1</f>
        <v>42.67</v>
      </c>
      <c r="F150" s="26"/>
      <c r="G150" s="26"/>
      <c r="H150" s="26">
        <f>ROUND((D150*E150/1000),3)</f>
        <v>4.5659999999999998</v>
      </c>
      <c r="I150" s="97">
        <v>195</v>
      </c>
      <c r="J150" s="26">
        <f>C1</f>
        <v>42.67</v>
      </c>
      <c r="K150" s="26"/>
      <c r="L150" s="26"/>
      <c r="M150" s="26">
        <f>ROUND((I150*J150/1000),3)</f>
        <v>8.3209999999999997</v>
      </c>
      <c r="N150" s="25">
        <v>106</v>
      </c>
      <c r="O150" s="26">
        <f>D1</f>
        <v>44.63</v>
      </c>
      <c r="P150" s="26"/>
      <c r="Q150" s="26"/>
      <c r="R150" s="26">
        <f>ROUND((N150*O150/1000),3)</f>
        <v>4.7309999999999999</v>
      </c>
      <c r="S150" s="25">
        <v>352</v>
      </c>
      <c r="T150" s="26">
        <f>D1</f>
        <v>44.63</v>
      </c>
      <c r="U150" s="26"/>
      <c r="V150" s="26"/>
      <c r="W150" s="26">
        <f>ROUND((S150*T150/1000),3)</f>
        <v>15.71</v>
      </c>
      <c r="X150" s="26">
        <f>D150+I150+N150+S150</f>
        <v>760</v>
      </c>
      <c r="Y150" s="26"/>
      <c r="Z150" s="26">
        <f>H150+M150+R150+W150</f>
        <v>33.328000000000003</v>
      </c>
      <c r="AA150" s="96"/>
      <c r="AB150" s="15">
        <v>886</v>
      </c>
      <c r="AC150" s="16">
        <v>777</v>
      </c>
    </row>
    <row r="151" spans="1:29" ht="12" customHeight="1" x14ac:dyDescent="0.2">
      <c r="A151" s="24"/>
      <c r="B151" s="140" t="s">
        <v>92</v>
      </c>
      <c r="C151" s="190" t="s">
        <v>44</v>
      </c>
      <c r="D151" s="25">
        <v>20</v>
      </c>
      <c r="E151" s="26">
        <f>C8</f>
        <v>410.28</v>
      </c>
      <c r="F151" s="26"/>
      <c r="G151" s="26"/>
      <c r="H151" s="26">
        <f>ROUND((D151*E151/1000),3)</f>
        <v>8.2059999999999995</v>
      </c>
      <c r="I151" s="95">
        <v>20</v>
      </c>
      <c r="J151" s="26">
        <f>C8</f>
        <v>410.28</v>
      </c>
      <c r="K151" s="26"/>
      <c r="L151" s="26"/>
      <c r="M151" s="26">
        <f>ROUND((I151*J151/1000),3)</f>
        <v>8.2059999999999995</v>
      </c>
      <c r="N151" s="26">
        <v>20</v>
      </c>
      <c r="O151" s="26">
        <f>D8</f>
        <v>410.28</v>
      </c>
      <c r="P151" s="26"/>
      <c r="Q151" s="26"/>
      <c r="R151" s="26">
        <f>ROUND((N151*O151/1000),3)</f>
        <v>8.2059999999999995</v>
      </c>
      <c r="S151" s="26">
        <v>20</v>
      </c>
      <c r="T151" s="26">
        <f>D8</f>
        <v>410.28</v>
      </c>
      <c r="U151" s="26"/>
      <c r="V151" s="26"/>
      <c r="W151" s="26">
        <f>ROUND((S151*T151/1000),3)</f>
        <v>8.2059999999999995</v>
      </c>
      <c r="X151" s="26">
        <f>D151+I151+N151+S151</f>
        <v>80</v>
      </c>
      <c r="Y151" s="26"/>
      <c r="Z151" s="26">
        <f>H151+M151+R151+W151</f>
        <v>32.823999999999998</v>
      </c>
      <c r="AA151" s="96"/>
      <c r="AB151" s="15">
        <v>80</v>
      </c>
      <c r="AC151" s="15">
        <v>80</v>
      </c>
    </row>
    <row r="152" spans="1:29" ht="12" customHeight="1" x14ac:dyDescent="0.2">
      <c r="A152" s="24" t="s">
        <v>192</v>
      </c>
      <c r="B152" s="93" t="s">
        <v>311</v>
      </c>
      <c r="C152" s="190"/>
      <c r="D152" s="25"/>
      <c r="E152" s="26"/>
      <c r="F152" s="26"/>
      <c r="G152" s="26"/>
      <c r="H152" s="26"/>
      <c r="I152" s="97"/>
      <c r="J152" s="26"/>
      <c r="K152" s="26"/>
      <c r="L152" s="26"/>
      <c r="M152" s="26"/>
      <c r="N152" s="25"/>
      <c r="O152" s="26"/>
      <c r="P152" s="26"/>
      <c r="Q152" s="26"/>
      <c r="R152" s="26"/>
      <c r="S152" s="25"/>
      <c r="T152" s="26"/>
      <c r="U152" s="26"/>
      <c r="V152" s="26"/>
      <c r="W152" s="26"/>
      <c r="X152" s="26"/>
      <c r="Y152" s="26"/>
      <c r="Z152" s="26"/>
      <c r="AA152" s="60"/>
    </row>
    <row r="153" spans="1:29" ht="12" customHeight="1" x14ac:dyDescent="0.2">
      <c r="A153" s="24"/>
      <c r="B153" s="93" t="s">
        <v>64</v>
      </c>
      <c r="C153" s="190" t="s">
        <v>41</v>
      </c>
      <c r="D153" s="25">
        <v>425</v>
      </c>
      <c r="E153" s="26">
        <f>C2</f>
        <v>43.81</v>
      </c>
      <c r="F153" s="26"/>
      <c r="G153" s="26"/>
      <c r="H153" s="26">
        <f>ROUND((D153*E153/1000),3)</f>
        <v>18.619</v>
      </c>
      <c r="I153" s="97">
        <v>423</v>
      </c>
      <c r="J153" s="26">
        <f>C2</f>
        <v>43.81</v>
      </c>
      <c r="K153" s="26"/>
      <c r="L153" s="26"/>
      <c r="M153" s="26">
        <f>ROUND((I153*J153/1000),3)</f>
        <v>18.532</v>
      </c>
      <c r="N153" s="25">
        <v>301</v>
      </c>
      <c r="O153" s="26">
        <f>D2</f>
        <v>51.02</v>
      </c>
      <c r="P153" s="26"/>
      <c r="Q153" s="26"/>
      <c r="R153" s="26">
        <f>ROUND((N153*O153/1000),3)</f>
        <v>15.356999999999999</v>
      </c>
      <c r="S153" s="25">
        <v>379</v>
      </c>
      <c r="T153" s="26">
        <f>D2</f>
        <v>51.02</v>
      </c>
      <c r="U153" s="26"/>
      <c r="V153" s="26"/>
      <c r="W153" s="26">
        <f>ROUND((S153*T153/1000),3)</f>
        <v>19.337</v>
      </c>
      <c r="X153" s="26">
        <f>D153+I153+N153+S153</f>
        <v>1528</v>
      </c>
      <c r="Y153" s="26"/>
      <c r="Z153" s="26">
        <f>H153+M153+R153+W153</f>
        <v>71.844999999999999</v>
      </c>
      <c r="AA153" s="96"/>
      <c r="AB153" s="15">
        <v>1199</v>
      </c>
      <c r="AC153" s="15">
        <v>1170</v>
      </c>
    </row>
    <row r="154" spans="1:29" ht="12" customHeight="1" x14ac:dyDescent="0.2">
      <c r="A154" s="24"/>
      <c r="B154" s="140" t="s">
        <v>92</v>
      </c>
      <c r="C154" s="190" t="s">
        <v>41</v>
      </c>
      <c r="D154" s="25">
        <v>277</v>
      </c>
      <c r="E154" s="26">
        <f>H8</f>
        <v>620</v>
      </c>
      <c r="F154" s="26"/>
      <c r="G154" s="26"/>
      <c r="H154" s="26">
        <f>ROUND((D154*E154/1000),3)</f>
        <v>171.74</v>
      </c>
      <c r="I154" s="95">
        <v>160</v>
      </c>
      <c r="J154" s="26">
        <f>H8</f>
        <v>620</v>
      </c>
      <c r="K154" s="26"/>
      <c r="L154" s="26"/>
      <c r="M154" s="26">
        <f>ROUND((I154*J154/1000),3)</f>
        <v>99.2</v>
      </c>
      <c r="N154" s="26">
        <v>254</v>
      </c>
      <c r="O154" s="26">
        <f>I8</f>
        <v>620</v>
      </c>
      <c r="P154" s="26"/>
      <c r="Q154" s="26"/>
      <c r="R154" s="26">
        <f>ROUND((N154*O154/1000),3)</f>
        <v>157.47999999999999</v>
      </c>
      <c r="S154" s="26">
        <v>209.2</v>
      </c>
      <c r="T154" s="26">
        <f>I8</f>
        <v>620</v>
      </c>
      <c r="U154" s="26"/>
      <c r="V154" s="26"/>
      <c r="W154" s="26">
        <f>ROUND((S154*T154/1000),3)</f>
        <v>129.70400000000001</v>
      </c>
      <c r="X154" s="26">
        <f>D154+I154+N154+S154</f>
        <v>900.2</v>
      </c>
      <c r="Y154" s="26"/>
      <c r="Z154" s="26">
        <f>H154+M154+R154+W154</f>
        <v>558.12400000000002</v>
      </c>
      <c r="AA154" s="96"/>
      <c r="AB154" s="15">
        <v>814.2</v>
      </c>
      <c r="AC154" s="15">
        <v>900.2</v>
      </c>
    </row>
    <row r="155" spans="1:29" ht="12" customHeight="1" x14ac:dyDescent="0.2">
      <c r="A155" s="24" t="s">
        <v>193</v>
      </c>
      <c r="B155" s="27" t="s">
        <v>312</v>
      </c>
      <c r="C155" s="190"/>
      <c r="D155" s="25"/>
      <c r="E155" s="26"/>
      <c r="F155" s="26"/>
      <c r="G155" s="26"/>
      <c r="H155" s="26"/>
      <c r="I155" s="97"/>
      <c r="J155" s="26"/>
      <c r="K155" s="26"/>
      <c r="L155" s="26"/>
      <c r="M155" s="26"/>
      <c r="N155" s="25"/>
      <c r="O155" s="26"/>
      <c r="P155" s="26"/>
      <c r="Q155" s="26"/>
      <c r="R155" s="26"/>
      <c r="S155" s="25"/>
      <c r="T155" s="26"/>
      <c r="U155" s="26"/>
      <c r="V155" s="26"/>
      <c r="W155" s="26"/>
      <c r="X155" s="26"/>
      <c r="Y155" s="26"/>
      <c r="Z155" s="26"/>
      <c r="AA155" s="96"/>
    </row>
    <row r="156" spans="1:29" ht="12" customHeight="1" x14ac:dyDescent="0.2">
      <c r="A156" s="24"/>
      <c r="B156" s="93" t="s">
        <v>64</v>
      </c>
      <c r="C156" s="190" t="s">
        <v>38</v>
      </c>
      <c r="D156" s="25">
        <v>304</v>
      </c>
      <c r="E156" s="26">
        <f>C1</f>
        <v>42.67</v>
      </c>
      <c r="F156" s="26"/>
      <c r="G156" s="26"/>
      <c r="H156" s="26">
        <f>ROUND((D156*E156/1000),3)</f>
        <v>12.972</v>
      </c>
      <c r="I156" s="97">
        <v>507</v>
      </c>
      <c r="J156" s="26">
        <f>C1</f>
        <v>42.67</v>
      </c>
      <c r="K156" s="26"/>
      <c r="L156" s="26"/>
      <c r="M156" s="26">
        <f>ROUND((I156*J156/1000),3)</f>
        <v>21.634</v>
      </c>
      <c r="N156" s="25">
        <v>184</v>
      </c>
      <c r="O156" s="26">
        <f>D1</f>
        <v>44.63</v>
      </c>
      <c r="P156" s="26"/>
      <c r="Q156" s="26"/>
      <c r="R156" s="26">
        <f>ROUND((N156*O156/1000),3)</f>
        <v>8.2119999999999997</v>
      </c>
      <c r="S156" s="25">
        <v>664</v>
      </c>
      <c r="T156" s="26">
        <f>D1</f>
        <v>44.63</v>
      </c>
      <c r="U156" s="26"/>
      <c r="V156" s="26"/>
      <c r="W156" s="26">
        <f>ROUND((S156*T156/1000),3)</f>
        <v>29.634</v>
      </c>
      <c r="X156" s="26">
        <f>D156+I156+N156+S156</f>
        <v>1659</v>
      </c>
      <c r="Y156" s="26"/>
      <c r="Z156" s="26">
        <f>H156+M156+R156+W156</f>
        <v>72.451999999999998</v>
      </c>
      <c r="AA156" s="96"/>
      <c r="AB156" s="15">
        <v>1062</v>
      </c>
      <c r="AC156" s="15">
        <v>1090</v>
      </c>
    </row>
    <row r="157" spans="1:29" ht="12" customHeight="1" x14ac:dyDescent="0.2">
      <c r="A157" s="24"/>
      <c r="B157" s="93" t="s">
        <v>43</v>
      </c>
      <c r="C157" s="190" t="s">
        <v>44</v>
      </c>
      <c r="D157" s="25">
        <f>D156</f>
        <v>304</v>
      </c>
      <c r="E157" s="26">
        <f>H5</f>
        <v>68.56</v>
      </c>
      <c r="F157" s="26"/>
      <c r="G157" s="26"/>
      <c r="H157" s="26">
        <f>ROUND((D157*E157/1000),3)</f>
        <v>20.841999999999999</v>
      </c>
      <c r="I157" s="97">
        <f>I156</f>
        <v>507</v>
      </c>
      <c r="J157" s="26">
        <f>H5</f>
        <v>68.56</v>
      </c>
      <c r="K157" s="26"/>
      <c r="L157" s="26"/>
      <c r="M157" s="26">
        <f>ROUND((I157*J157/1000),3)</f>
        <v>34.76</v>
      </c>
      <c r="N157" s="25">
        <f>N156</f>
        <v>184</v>
      </c>
      <c r="O157" s="26">
        <f>I5</f>
        <v>78.45</v>
      </c>
      <c r="P157" s="26"/>
      <c r="Q157" s="26"/>
      <c r="R157" s="26">
        <f>ROUND((N157*O157/1000),3)</f>
        <v>14.435</v>
      </c>
      <c r="S157" s="25">
        <f>S156</f>
        <v>664</v>
      </c>
      <c r="T157" s="26">
        <f>I5</f>
        <v>78.45</v>
      </c>
      <c r="U157" s="26"/>
      <c r="V157" s="26"/>
      <c r="W157" s="26">
        <f>ROUND((S157*T157/1000),3)</f>
        <v>52.091000000000001</v>
      </c>
      <c r="X157" s="26">
        <f>D157+I157+N157+S157</f>
        <v>1659</v>
      </c>
      <c r="Y157" s="26"/>
      <c r="Z157" s="26">
        <f>H157+M157+R157+W157</f>
        <v>122.12799999999999</v>
      </c>
      <c r="AA157" s="60"/>
      <c r="AB157" s="15">
        <v>1062</v>
      </c>
      <c r="AC157" s="15">
        <v>1090</v>
      </c>
    </row>
    <row r="158" spans="1:29" ht="12" customHeight="1" x14ac:dyDescent="0.2">
      <c r="A158" s="24" t="s">
        <v>194</v>
      </c>
      <c r="B158" s="27" t="s">
        <v>313</v>
      </c>
      <c r="C158" s="190"/>
      <c r="D158" s="25"/>
      <c r="E158" s="26"/>
      <c r="F158" s="26"/>
      <c r="G158" s="26"/>
      <c r="H158" s="26"/>
      <c r="I158" s="97"/>
      <c r="J158" s="26"/>
      <c r="K158" s="26"/>
      <c r="L158" s="26"/>
      <c r="M158" s="26"/>
      <c r="N158" s="25"/>
      <c r="O158" s="26"/>
      <c r="P158" s="26"/>
      <c r="Q158" s="26"/>
      <c r="R158" s="26"/>
      <c r="S158" s="25"/>
      <c r="T158" s="26"/>
      <c r="U158" s="26"/>
      <c r="V158" s="26"/>
      <c r="W158" s="26"/>
      <c r="X158" s="26"/>
      <c r="Y158" s="26"/>
      <c r="Z158" s="26"/>
      <c r="AA158" s="96"/>
    </row>
    <row r="159" spans="1:29" ht="12" customHeight="1" x14ac:dyDescent="0.2">
      <c r="A159" s="24"/>
      <c r="B159" s="93" t="s">
        <v>64</v>
      </c>
      <c r="C159" s="190" t="s">
        <v>38</v>
      </c>
      <c r="D159" s="25">
        <v>253</v>
      </c>
      <c r="E159" s="26">
        <f>C1</f>
        <v>42.67</v>
      </c>
      <c r="F159" s="26"/>
      <c r="G159" s="26"/>
      <c r="H159" s="26">
        <f>ROUND((D159*E159/1000),3)</f>
        <v>10.795999999999999</v>
      </c>
      <c r="I159" s="97">
        <v>241</v>
      </c>
      <c r="J159" s="26">
        <f>C1</f>
        <v>42.67</v>
      </c>
      <c r="K159" s="26"/>
      <c r="L159" s="26"/>
      <c r="M159" s="26">
        <f>ROUND((I159*J159/1000),3)</f>
        <v>10.282999999999999</v>
      </c>
      <c r="N159" s="25">
        <v>333</v>
      </c>
      <c r="O159" s="26">
        <f>D1</f>
        <v>44.63</v>
      </c>
      <c r="P159" s="26"/>
      <c r="Q159" s="26"/>
      <c r="R159" s="26">
        <f>ROUND((N159*O159/1000),3)</f>
        <v>14.862</v>
      </c>
      <c r="S159" s="25">
        <v>429</v>
      </c>
      <c r="T159" s="26">
        <f>D1</f>
        <v>44.63</v>
      </c>
      <c r="U159" s="26"/>
      <c r="V159" s="26"/>
      <c r="W159" s="26">
        <f>ROUND((S159*T159/1000),3)</f>
        <v>19.146000000000001</v>
      </c>
      <c r="X159" s="26">
        <f>D159+I159+N159+S159</f>
        <v>1256</v>
      </c>
      <c r="Y159" s="26"/>
      <c r="Z159" s="26">
        <f>H159+M159+R159+W159</f>
        <v>55.087000000000003</v>
      </c>
      <c r="AA159" s="96"/>
      <c r="AB159" s="15">
        <v>1104</v>
      </c>
      <c r="AC159" s="16">
        <v>784</v>
      </c>
    </row>
    <row r="160" spans="1:29" ht="12" customHeight="1" x14ac:dyDescent="0.2">
      <c r="A160" s="24"/>
      <c r="B160" s="140" t="s">
        <v>92</v>
      </c>
      <c r="C160" s="190" t="s">
        <v>44</v>
      </c>
      <c r="D160" s="25">
        <v>43.2</v>
      </c>
      <c r="E160" s="26">
        <f>C8</f>
        <v>410.28</v>
      </c>
      <c r="F160" s="26"/>
      <c r="G160" s="26"/>
      <c r="H160" s="26">
        <f>ROUND((D160*E160/1000),3)</f>
        <v>17.724</v>
      </c>
      <c r="I160" s="95">
        <v>32.4</v>
      </c>
      <c r="J160" s="26">
        <f>C8</f>
        <v>410.28</v>
      </c>
      <c r="K160" s="26"/>
      <c r="L160" s="26"/>
      <c r="M160" s="26">
        <f>ROUND((I160*J160/1000),3)</f>
        <v>13.292999999999999</v>
      </c>
      <c r="N160" s="26">
        <v>30</v>
      </c>
      <c r="O160" s="26">
        <f>D8</f>
        <v>410.28</v>
      </c>
      <c r="P160" s="26"/>
      <c r="Q160" s="26"/>
      <c r="R160" s="26">
        <f>ROUND((N160*O160/1000),3)</f>
        <v>12.308</v>
      </c>
      <c r="S160" s="26">
        <v>46.8</v>
      </c>
      <c r="T160" s="26">
        <f>D8</f>
        <v>410.28</v>
      </c>
      <c r="U160" s="26"/>
      <c r="V160" s="26"/>
      <c r="W160" s="26">
        <f>ROUND((S160*T160/1000),3)</f>
        <v>19.201000000000001</v>
      </c>
      <c r="X160" s="26">
        <f>D160+I160+N160+S160</f>
        <v>152.39999999999998</v>
      </c>
      <c r="Y160" s="26"/>
      <c r="Z160" s="26">
        <f>H160+M160+R160+W160</f>
        <v>62.526000000000003</v>
      </c>
      <c r="AA160" s="96"/>
      <c r="AB160" s="15">
        <v>152.39999999999998</v>
      </c>
      <c r="AC160" s="15">
        <v>152.39999999999998</v>
      </c>
    </row>
    <row r="161" spans="1:31" ht="12" customHeight="1" x14ac:dyDescent="0.2">
      <c r="A161" s="24" t="s">
        <v>195</v>
      </c>
      <c r="B161" s="27" t="s">
        <v>314</v>
      </c>
      <c r="C161" s="190"/>
      <c r="D161" s="25"/>
      <c r="E161" s="26"/>
      <c r="F161" s="26"/>
      <c r="G161" s="26"/>
      <c r="H161" s="26"/>
      <c r="I161" s="97"/>
      <c r="J161" s="26"/>
      <c r="K161" s="26"/>
      <c r="L161" s="26"/>
      <c r="M161" s="26"/>
      <c r="N161" s="25"/>
      <c r="O161" s="26"/>
      <c r="P161" s="26"/>
      <c r="Q161" s="26"/>
      <c r="R161" s="26"/>
      <c r="S161" s="25"/>
      <c r="T161" s="26"/>
      <c r="U161" s="26"/>
      <c r="V161" s="26"/>
      <c r="W161" s="26"/>
      <c r="X161" s="26"/>
      <c r="Y161" s="26"/>
      <c r="Z161" s="26"/>
      <c r="AA161" s="60"/>
    </row>
    <row r="162" spans="1:31" ht="12" customHeight="1" x14ac:dyDescent="0.2">
      <c r="A162" s="24"/>
      <c r="B162" s="93" t="s">
        <v>64</v>
      </c>
      <c r="C162" s="190" t="s">
        <v>38</v>
      </c>
      <c r="D162" s="25">
        <v>435</v>
      </c>
      <c r="E162" s="26">
        <f>C1</f>
        <v>42.67</v>
      </c>
      <c r="F162" s="26"/>
      <c r="G162" s="26"/>
      <c r="H162" s="26">
        <f>ROUND((D162*E162/1000),3)</f>
        <v>18.561</v>
      </c>
      <c r="I162" s="97">
        <v>463</v>
      </c>
      <c r="J162" s="26">
        <f>C1</f>
        <v>42.67</v>
      </c>
      <c r="K162" s="26"/>
      <c r="L162" s="26"/>
      <c r="M162" s="26">
        <f>ROUND((I162*J162/1000),3)</f>
        <v>19.756</v>
      </c>
      <c r="N162" s="25">
        <v>223</v>
      </c>
      <c r="O162" s="26">
        <f>D1</f>
        <v>44.63</v>
      </c>
      <c r="P162" s="26"/>
      <c r="Q162" s="26"/>
      <c r="R162" s="26">
        <f>ROUND((N162*O162/1000),3)</f>
        <v>9.952</v>
      </c>
      <c r="S162" s="25">
        <v>416</v>
      </c>
      <c r="T162" s="26">
        <f>D1</f>
        <v>44.63</v>
      </c>
      <c r="U162" s="26"/>
      <c r="V162" s="26"/>
      <c r="W162" s="26">
        <f>ROUND((S162*T162/1000),3)</f>
        <v>18.565999999999999</v>
      </c>
      <c r="X162" s="26">
        <f>D162+I162+N162+S162</f>
        <v>1537</v>
      </c>
      <c r="Y162" s="26"/>
      <c r="Z162" s="26">
        <f>H162+M162+R162+W162</f>
        <v>66.834999999999994</v>
      </c>
      <c r="AA162" s="96"/>
      <c r="AB162" s="15">
        <v>1362</v>
      </c>
      <c r="AC162" s="16">
        <v>1170</v>
      </c>
      <c r="AE162" s="15">
        <v>73224</v>
      </c>
    </row>
    <row r="163" spans="1:31" ht="12" customHeight="1" x14ac:dyDescent="0.2">
      <c r="A163" s="24"/>
      <c r="B163" s="93" t="s">
        <v>43</v>
      </c>
      <c r="C163" s="190" t="s">
        <v>39</v>
      </c>
      <c r="D163" s="25">
        <f>D162</f>
        <v>435</v>
      </c>
      <c r="E163" s="26">
        <f>H5</f>
        <v>68.56</v>
      </c>
      <c r="F163" s="26"/>
      <c r="G163" s="26"/>
      <c r="H163" s="26">
        <f>ROUND((D163*E163/1000),3)</f>
        <v>29.824000000000002</v>
      </c>
      <c r="I163" s="97">
        <f>I162</f>
        <v>463</v>
      </c>
      <c r="J163" s="26">
        <f>H5</f>
        <v>68.56</v>
      </c>
      <c r="K163" s="26"/>
      <c r="L163" s="26"/>
      <c r="M163" s="26">
        <f>ROUND((I163*J163/1000),3)</f>
        <v>31.742999999999999</v>
      </c>
      <c r="N163" s="25">
        <f>N162</f>
        <v>223</v>
      </c>
      <c r="O163" s="26">
        <f>I5</f>
        <v>78.45</v>
      </c>
      <c r="P163" s="26"/>
      <c r="Q163" s="26"/>
      <c r="R163" s="26">
        <f>ROUND((N163*O163/1000),3)</f>
        <v>17.494</v>
      </c>
      <c r="S163" s="25">
        <f>S162</f>
        <v>416</v>
      </c>
      <c r="T163" s="26">
        <f>I5</f>
        <v>78.45</v>
      </c>
      <c r="U163" s="26"/>
      <c r="V163" s="26"/>
      <c r="W163" s="26">
        <f>ROUND((S163*T163/1000),3)</f>
        <v>32.634999999999998</v>
      </c>
      <c r="X163" s="26">
        <f>D163+I163+N163+S163</f>
        <v>1537</v>
      </c>
      <c r="Y163" s="26"/>
      <c r="Z163" s="26">
        <f>H163+M163+R163+W163</f>
        <v>111.696</v>
      </c>
      <c r="AA163" s="96"/>
      <c r="AB163" s="15">
        <v>1362</v>
      </c>
      <c r="AC163" s="15">
        <v>1170</v>
      </c>
    </row>
    <row r="164" spans="1:31" ht="12" customHeight="1" x14ac:dyDescent="0.2">
      <c r="A164" s="24" t="s">
        <v>196</v>
      </c>
      <c r="B164" s="93" t="s">
        <v>315</v>
      </c>
      <c r="C164" s="190"/>
      <c r="D164" s="25"/>
      <c r="E164" s="25"/>
      <c r="F164" s="25"/>
      <c r="G164" s="25"/>
      <c r="H164" s="26"/>
      <c r="I164" s="95"/>
      <c r="J164" s="26"/>
      <c r="K164" s="25"/>
      <c r="L164" s="25"/>
      <c r="M164" s="26"/>
      <c r="N164" s="26"/>
      <c r="O164" s="26"/>
      <c r="P164" s="25"/>
      <c r="Q164" s="25"/>
      <c r="R164" s="26"/>
      <c r="S164" s="26"/>
      <c r="T164" s="26"/>
      <c r="U164" s="25"/>
      <c r="V164" s="25"/>
      <c r="W164" s="26"/>
      <c r="X164" s="26"/>
      <c r="Y164" s="26"/>
      <c r="Z164" s="26"/>
      <c r="AA164" s="96"/>
    </row>
    <row r="165" spans="1:31" ht="12" customHeight="1" x14ac:dyDescent="0.2">
      <c r="A165" s="24"/>
      <c r="B165" s="93" t="s">
        <v>64</v>
      </c>
      <c r="C165" s="190" t="s">
        <v>66</v>
      </c>
      <c r="D165" s="25">
        <v>49</v>
      </c>
      <c r="E165" s="25">
        <f>C5</f>
        <v>40.72</v>
      </c>
      <c r="F165" s="25"/>
      <c r="G165" s="25"/>
      <c r="H165" s="26">
        <f>ROUND((D165*E165/1000),3)</f>
        <v>1.9950000000000001</v>
      </c>
      <c r="I165" s="97">
        <v>54</v>
      </c>
      <c r="J165" s="26">
        <f>C5</f>
        <v>40.72</v>
      </c>
      <c r="K165" s="25"/>
      <c r="L165" s="25"/>
      <c r="M165" s="26">
        <f>ROUND((I165*J165/1000),3)</f>
        <v>2.1989999999999998</v>
      </c>
      <c r="N165" s="25">
        <v>17</v>
      </c>
      <c r="O165" s="26">
        <f>D5</f>
        <v>41.29</v>
      </c>
      <c r="P165" s="25"/>
      <c r="Q165" s="25"/>
      <c r="R165" s="26">
        <f>ROUND((N165*O165/1000),3)</f>
        <v>0.70199999999999996</v>
      </c>
      <c r="S165" s="25">
        <v>22.48</v>
      </c>
      <c r="T165" s="26">
        <f>D5</f>
        <v>41.29</v>
      </c>
      <c r="U165" s="25"/>
      <c r="V165" s="25"/>
      <c r="W165" s="26">
        <f>ROUND((S165*T165/1000),3)</f>
        <v>0.92800000000000005</v>
      </c>
      <c r="X165" s="26">
        <f>D165+I165+N165+S165</f>
        <v>142.47999999999999</v>
      </c>
      <c r="Y165" s="26"/>
      <c r="Z165" s="26">
        <f>H165+M165+R165+W165</f>
        <v>5.8239999999999998</v>
      </c>
      <c r="AA165" s="96"/>
      <c r="AB165" s="15">
        <v>134</v>
      </c>
      <c r="AC165" s="15">
        <v>142.47999999999999</v>
      </c>
    </row>
    <row r="166" spans="1:31" ht="12" customHeight="1" x14ac:dyDescent="0.2">
      <c r="A166" s="24" t="s">
        <v>197</v>
      </c>
      <c r="B166" s="93" t="s">
        <v>316</v>
      </c>
      <c r="C166" s="190"/>
      <c r="D166" s="25"/>
      <c r="E166" s="25"/>
      <c r="F166" s="25"/>
      <c r="G166" s="25"/>
      <c r="H166" s="26"/>
      <c r="I166" s="95"/>
      <c r="J166" s="26"/>
      <c r="K166" s="25"/>
      <c r="L166" s="25"/>
      <c r="M166" s="26"/>
      <c r="N166" s="26"/>
      <c r="O166" s="26"/>
      <c r="P166" s="25"/>
      <c r="Q166" s="25"/>
      <c r="R166" s="26"/>
      <c r="S166" s="26"/>
      <c r="T166" s="26"/>
      <c r="U166" s="25"/>
      <c r="V166" s="25"/>
      <c r="W166" s="26"/>
      <c r="X166" s="26"/>
      <c r="Y166" s="26"/>
      <c r="Z166" s="26"/>
      <c r="AA166" s="96"/>
    </row>
    <row r="167" spans="1:31" ht="12" customHeight="1" x14ac:dyDescent="0.2">
      <c r="A167" s="24"/>
      <c r="B167" s="93" t="s">
        <v>64</v>
      </c>
      <c r="C167" s="190" t="s">
        <v>38</v>
      </c>
      <c r="D167" s="25">
        <v>131</v>
      </c>
      <c r="E167" s="26">
        <f>C1</f>
        <v>42.67</v>
      </c>
      <c r="F167" s="26"/>
      <c r="G167" s="26"/>
      <c r="H167" s="26">
        <f>ROUND((D167*E167/1000),3)</f>
        <v>5.59</v>
      </c>
      <c r="I167" s="95">
        <v>77</v>
      </c>
      <c r="J167" s="26">
        <f>C1</f>
        <v>42.67</v>
      </c>
      <c r="K167" s="26"/>
      <c r="L167" s="26"/>
      <c r="M167" s="26">
        <f>ROUND((I167*J167/1000),3)</f>
        <v>3.286</v>
      </c>
      <c r="N167" s="26">
        <v>68</v>
      </c>
      <c r="O167" s="26">
        <f>D1</f>
        <v>44.63</v>
      </c>
      <c r="P167" s="26"/>
      <c r="Q167" s="26"/>
      <c r="R167" s="26">
        <f>ROUND((N167*O167/1000),3)</f>
        <v>3.0350000000000001</v>
      </c>
      <c r="S167" s="26">
        <v>131</v>
      </c>
      <c r="T167" s="26">
        <f>D1</f>
        <v>44.63</v>
      </c>
      <c r="U167" s="26"/>
      <c r="V167" s="26"/>
      <c r="W167" s="26">
        <f>ROUND((S167*T167/1000),3)</f>
        <v>5.8470000000000004</v>
      </c>
      <c r="X167" s="26">
        <f>D167+I167+N167+S167</f>
        <v>407</v>
      </c>
      <c r="Y167" s="26"/>
      <c r="Z167" s="26">
        <f>H167+M167+R167+W167</f>
        <v>17.757999999999999</v>
      </c>
      <c r="AA167" s="96"/>
      <c r="AB167" s="15">
        <v>451</v>
      </c>
      <c r="AC167" s="16">
        <v>407</v>
      </c>
      <c r="AE167" s="15">
        <v>38144</v>
      </c>
    </row>
    <row r="168" spans="1:31" ht="12" customHeight="1" x14ac:dyDescent="0.2">
      <c r="A168" s="24" t="s">
        <v>198</v>
      </c>
      <c r="B168" s="27" t="s">
        <v>317</v>
      </c>
      <c r="C168" s="190"/>
      <c r="D168" s="25"/>
      <c r="E168" s="26"/>
      <c r="F168" s="26"/>
      <c r="G168" s="26"/>
      <c r="H168" s="26"/>
      <c r="I168" s="97"/>
      <c r="J168" s="26"/>
      <c r="K168" s="26"/>
      <c r="L168" s="26"/>
      <c r="M168" s="26"/>
      <c r="N168" s="25"/>
      <c r="O168" s="26"/>
      <c r="P168" s="26"/>
      <c r="Q168" s="26"/>
      <c r="R168" s="26"/>
      <c r="S168" s="25"/>
      <c r="T168" s="26"/>
      <c r="U168" s="26"/>
      <c r="V168" s="26"/>
      <c r="W168" s="26"/>
      <c r="X168" s="26"/>
      <c r="Y168" s="26"/>
      <c r="Z168" s="26"/>
      <c r="AA168" s="96"/>
    </row>
    <row r="169" spans="1:31" ht="12" customHeight="1" x14ac:dyDescent="0.2">
      <c r="A169" s="24"/>
      <c r="B169" s="93" t="s">
        <v>64</v>
      </c>
      <c r="C169" s="190" t="s">
        <v>41</v>
      </c>
      <c r="D169" s="25">
        <v>242</v>
      </c>
      <c r="E169" s="25">
        <f>C2</f>
        <v>43.81</v>
      </c>
      <c r="F169" s="25"/>
      <c r="G169" s="25"/>
      <c r="H169" s="26">
        <f>ROUND((D169*E169/1000),3)</f>
        <v>10.602</v>
      </c>
      <c r="I169" s="97">
        <v>155</v>
      </c>
      <c r="J169" s="26">
        <f>C2</f>
        <v>43.81</v>
      </c>
      <c r="K169" s="25"/>
      <c r="L169" s="25"/>
      <c r="M169" s="26">
        <f>ROUND((I169*J169/1000),3)</f>
        <v>6.7910000000000004</v>
      </c>
      <c r="N169" s="25">
        <v>51</v>
      </c>
      <c r="O169" s="26">
        <f>D2</f>
        <v>51.02</v>
      </c>
      <c r="P169" s="25"/>
      <c r="Q169" s="25"/>
      <c r="R169" s="26">
        <f>ROUND((N169*O169/1000),3)</f>
        <v>2.6019999999999999</v>
      </c>
      <c r="S169" s="25">
        <v>117</v>
      </c>
      <c r="T169" s="26">
        <f>D2</f>
        <v>51.02</v>
      </c>
      <c r="U169" s="25"/>
      <c r="V169" s="25"/>
      <c r="W169" s="26">
        <f>ROUND((S169*T169/1000),3)</f>
        <v>5.9690000000000003</v>
      </c>
      <c r="X169" s="26">
        <f>D169+I169+N169+S169</f>
        <v>565</v>
      </c>
      <c r="Y169" s="26"/>
      <c r="Z169" s="26">
        <f>H169+M169+R169+W169</f>
        <v>25.964000000000002</v>
      </c>
      <c r="AA169" s="96"/>
      <c r="AB169" s="15">
        <v>650</v>
      </c>
      <c r="AC169" s="16">
        <v>565</v>
      </c>
    </row>
    <row r="170" spans="1:31" ht="12" customHeight="1" x14ac:dyDescent="0.2">
      <c r="A170" s="24"/>
      <c r="B170" s="140" t="s">
        <v>92</v>
      </c>
      <c r="C170" s="190" t="s">
        <v>41</v>
      </c>
      <c r="D170" s="25">
        <v>236</v>
      </c>
      <c r="E170" s="26">
        <f>H8</f>
        <v>620</v>
      </c>
      <c r="F170" s="26"/>
      <c r="G170" s="26"/>
      <c r="H170" s="26">
        <f>ROUND((D170*E170/1000),3)</f>
        <v>146.32</v>
      </c>
      <c r="I170" s="95">
        <v>182</v>
      </c>
      <c r="J170" s="26">
        <f>H8</f>
        <v>620</v>
      </c>
      <c r="K170" s="26"/>
      <c r="L170" s="26"/>
      <c r="M170" s="26">
        <f>ROUND((I170*J170/1000),3)</f>
        <v>112.84</v>
      </c>
      <c r="N170" s="26">
        <v>119.6</v>
      </c>
      <c r="O170" s="26">
        <f>I8</f>
        <v>620</v>
      </c>
      <c r="P170" s="26"/>
      <c r="Q170" s="26"/>
      <c r="R170" s="26">
        <f>ROUND((N170*O170/1000),3)</f>
        <v>74.152000000000001</v>
      </c>
      <c r="S170" s="26">
        <v>291.2</v>
      </c>
      <c r="T170" s="26">
        <f>I8</f>
        <v>620</v>
      </c>
      <c r="U170" s="26"/>
      <c r="V170" s="26"/>
      <c r="W170" s="26">
        <f>ROUND((S170*T170/1000),3)</f>
        <v>180.54400000000001</v>
      </c>
      <c r="X170" s="26">
        <f>D170+I170+N170+S170</f>
        <v>828.8</v>
      </c>
      <c r="Y170" s="26"/>
      <c r="Z170" s="26">
        <f>H170+M170+R170+W170</f>
        <v>513.85599999999999</v>
      </c>
      <c r="AA170" s="96"/>
      <c r="AB170" s="15">
        <v>828.8</v>
      </c>
      <c r="AC170" s="15">
        <v>828.8</v>
      </c>
    </row>
    <row r="171" spans="1:31" ht="12" customHeight="1" x14ac:dyDescent="0.2">
      <c r="A171" s="24" t="s">
        <v>199</v>
      </c>
      <c r="B171" s="27" t="s">
        <v>318</v>
      </c>
      <c r="C171" s="190"/>
      <c r="D171" s="25"/>
      <c r="E171" s="26"/>
      <c r="F171" s="26"/>
      <c r="G171" s="26"/>
      <c r="H171" s="26"/>
      <c r="I171" s="97"/>
      <c r="J171" s="26"/>
      <c r="K171" s="26"/>
      <c r="L171" s="26"/>
      <c r="M171" s="26"/>
      <c r="N171" s="25"/>
      <c r="O171" s="26"/>
      <c r="P171" s="26"/>
      <c r="Q171" s="26"/>
      <c r="R171" s="26"/>
      <c r="S171" s="25"/>
      <c r="T171" s="26"/>
      <c r="U171" s="26"/>
      <c r="V171" s="26"/>
      <c r="W171" s="26"/>
      <c r="X171" s="26"/>
      <c r="Y171" s="26"/>
      <c r="Z171" s="26"/>
      <c r="AA171" s="96"/>
    </row>
    <row r="172" spans="1:31" ht="12" customHeight="1" x14ac:dyDescent="0.2">
      <c r="A172" s="24"/>
      <c r="B172" s="93" t="s">
        <v>64</v>
      </c>
      <c r="C172" s="190" t="s">
        <v>38</v>
      </c>
      <c r="D172" s="25">
        <v>111</v>
      </c>
      <c r="E172" s="26">
        <f>C1</f>
        <v>42.67</v>
      </c>
      <c r="F172" s="26"/>
      <c r="G172" s="26"/>
      <c r="H172" s="26">
        <f>ROUND((D172*E172/1000),3)</f>
        <v>4.7359999999999998</v>
      </c>
      <c r="I172" s="97">
        <v>91</v>
      </c>
      <c r="J172" s="26">
        <f>C1</f>
        <v>42.67</v>
      </c>
      <c r="K172" s="26"/>
      <c r="L172" s="26"/>
      <c r="M172" s="26">
        <f>ROUND((I172*J172/1000),3)</f>
        <v>3.883</v>
      </c>
      <c r="N172" s="25">
        <v>80</v>
      </c>
      <c r="O172" s="26">
        <f>D1</f>
        <v>44.63</v>
      </c>
      <c r="P172" s="26"/>
      <c r="Q172" s="26"/>
      <c r="R172" s="26">
        <f>ROUND((N172*O172/1000),3)</f>
        <v>3.57</v>
      </c>
      <c r="S172" s="25">
        <v>120</v>
      </c>
      <c r="T172" s="26">
        <f>D1</f>
        <v>44.63</v>
      </c>
      <c r="U172" s="26"/>
      <c r="V172" s="26"/>
      <c r="W172" s="26">
        <f>ROUND((S172*T172/1000),3)</f>
        <v>5.3559999999999999</v>
      </c>
      <c r="X172" s="26">
        <f>D172+I172+N172+S172</f>
        <v>402</v>
      </c>
      <c r="Y172" s="26"/>
      <c r="Z172" s="26">
        <f>H172+M172+R172+W172</f>
        <v>17.545000000000002</v>
      </c>
      <c r="AA172" s="96"/>
      <c r="AB172" s="15">
        <v>431</v>
      </c>
      <c r="AC172" s="15">
        <v>440</v>
      </c>
    </row>
    <row r="173" spans="1:31" ht="11.25" customHeight="1" x14ac:dyDescent="0.2">
      <c r="A173" s="24"/>
      <c r="B173" s="227" t="s">
        <v>30</v>
      </c>
      <c r="C173" s="190" t="s">
        <v>29</v>
      </c>
      <c r="D173" s="25">
        <v>66.3</v>
      </c>
      <c r="E173" s="26">
        <v>49.58</v>
      </c>
      <c r="F173" s="26">
        <v>2.1</v>
      </c>
      <c r="G173" s="224">
        <v>4697.71</v>
      </c>
      <c r="H173" s="26">
        <f>((G173*F173+E173*D173)/1000)</f>
        <v>13.152345</v>
      </c>
      <c r="I173" s="97">
        <v>68.8</v>
      </c>
      <c r="J173" s="26">
        <v>49.58</v>
      </c>
      <c r="K173" s="26">
        <v>2.1</v>
      </c>
      <c r="L173" s="224">
        <v>4697.71</v>
      </c>
      <c r="M173" s="26">
        <f>((L173*K173+J173*I173)/1000)</f>
        <v>13.276294999999999</v>
      </c>
      <c r="N173" s="25">
        <v>30.9</v>
      </c>
      <c r="O173" s="26">
        <v>53.77</v>
      </c>
      <c r="P173" s="26">
        <v>2.1</v>
      </c>
      <c r="Q173" s="26">
        <v>5146.84</v>
      </c>
      <c r="R173" s="26">
        <f>((Q173*P173+O173*N173)/1000)</f>
        <v>12.469857000000001</v>
      </c>
      <c r="S173" s="25">
        <v>59.9</v>
      </c>
      <c r="T173" s="26">
        <v>53.77</v>
      </c>
      <c r="U173" s="26">
        <v>2.1</v>
      </c>
      <c r="V173" s="26">
        <v>5146.84</v>
      </c>
      <c r="W173" s="26">
        <f>((V173*U173+T173*S173)/1000)</f>
        <v>14.029187000000002</v>
      </c>
      <c r="X173" s="26">
        <f>D173+I173+N173+S173</f>
        <v>225.9</v>
      </c>
      <c r="Y173" s="26">
        <f t="shared" si="6"/>
        <v>8.4</v>
      </c>
      <c r="Z173" s="26">
        <f>H173+M173+R173+W173</f>
        <v>52.927684000000006</v>
      </c>
      <c r="AA173" s="96"/>
      <c r="AB173" s="15">
        <v>209.2</v>
      </c>
      <c r="AC173" s="15">
        <v>245.6</v>
      </c>
    </row>
    <row r="174" spans="1:31" ht="12" customHeight="1" x14ac:dyDescent="0.2">
      <c r="A174" s="24"/>
      <c r="B174" s="93" t="s">
        <v>43</v>
      </c>
      <c r="C174" s="190" t="s">
        <v>39</v>
      </c>
      <c r="D174" s="25">
        <f>D172+D173</f>
        <v>177.3</v>
      </c>
      <c r="E174" s="26">
        <f>H5</f>
        <v>68.56</v>
      </c>
      <c r="F174" s="26"/>
      <c r="G174" s="26"/>
      <c r="H174" s="26">
        <f>ROUND((D174*E174/1000),3)</f>
        <v>12.156000000000001</v>
      </c>
      <c r="I174" s="97">
        <v>159.80000000000001</v>
      </c>
      <c r="J174" s="26">
        <f>H5</f>
        <v>68.56</v>
      </c>
      <c r="K174" s="26"/>
      <c r="L174" s="26"/>
      <c r="M174" s="26">
        <f>ROUND((I174*J174/1000),3)</f>
        <v>10.956</v>
      </c>
      <c r="N174" s="25">
        <f>N172+N173</f>
        <v>110.9</v>
      </c>
      <c r="O174" s="26">
        <f>I5</f>
        <v>78.45</v>
      </c>
      <c r="P174" s="26"/>
      <c r="Q174" s="26"/>
      <c r="R174" s="26">
        <f>ROUND((N174*O174/1000),3)</f>
        <v>8.6999999999999993</v>
      </c>
      <c r="S174" s="25">
        <f>S172+S173</f>
        <v>179.9</v>
      </c>
      <c r="T174" s="26">
        <f>I5</f>
        <v>78.45</v>
      </c>
      <c r="U174" s="26"/>
      <c r="V174" s="26"/>
      <c r="W174" s="26">
        <f>ROUND((S174*T174/1000),3)</f>
        <v>14.113</v>
      </c>
      <c r="X174" s="26">
        <f>D174+I174+N174+S174</f>
        <v>627.9</v>
      </c>
      <c r="Y174" s="26"/>
      <c r="Z174" s="26">
        <f>H174+M174+R174+W174</f>
        <v>45.924999999999997</v>
      </c>
      <c r="AA174" s="96"/>
      <c r="AB174" s="15">
        <v>640.20000000000005</v>
      </c>
      <c r="AC174" s="15">
        <v>685.6</v>
      </c>
    </row>
    <row r="175" spans="1:31" ht="12" customHeight="1" x14ac:dyDescent="0.2">
      <c r="A175" s="24" t="s">
        <v>200</v>
      </c>
      <c r="B175" s="27" t="s">
        <v>319</v>
      </c>
      <c r="C175" s="190"/>
      <c r="D175" s="25"/>
      <c r="E175" s="26"/>
      <c r="F175" s="26"/>
      <c r="G175" s="26"/>
      <c r="H175" s="26"/>
      <c r="I175" s="97"/>
      <c r="J175" s="26"/>
      <c r="K175" s="26"/>
      <c r="L175" s="26"/>
      <c r="M175" s="26"/>
      <c r="N175" s="25"/>
      <c r="O175" s="26"/>
      <c r="P175" s="26"/>
      <c r="Q175" s="26"/>
      <c r="R175" s="26"/>
      <c r="S175" s="25"/>
      <c r="T175" s="26"/>
      <c r="U175" s="26"/>
      <c r="V175" s="26"/>
      <c r="W175" s="26"/>
      <c r="X175" s="26"/>
      <c r="Y175" s="26"/>
      <c r="Z175" s="26"/>
      <c r="AA175" s="96"/>
    </row>
    <row r="176" spans="1:31" ht="12" customHeight="1" x14ac:dyDescent="0.2">
      <c r="A176" s="24"/>
      <c r="B176" s="93" t="s">
        <v>64</v>
      </c>
      <c r="C176" s="190" t="s">
        <v>66</v>
      </c>
      <c r="D176" s="25">
        <v>254</v>
      </c>
      <c r="E176" s="25">
        <f>C5</f>
        <v>40.72</v>
      </c>
      <c r="F176" s="25"/>
      <c r="G176" s="25"/>
      <c r="H176" s="26">
        <f>ROUND((D176*E176/1000),3)</f>
        <v>10.343</v>
      </c>
      <c r="I176" s="97">
        <v>187</v>
      </c>
      <c r="J176" s="26">
        <f>C5</f>
        <v>40.72</v>
      </c>
      <c r="K176" s="25"/>
      <c r="L176" s="25"/>
      <c r="M176" s="26">
        <f>ROUND((I176*J176/1000),3)</f>
        <v>7.6150000000000002</v>
      </c>
      <c r="N176" s="25">
        <v>187</v>
      </c>
      <c r="O176" s="26">
        <f>D5</f>
        <v>41.29</v>
      </c>
      <c r="P176" s="25"/>
      <c r="Q176" s="25"/>
      <c r="R176" s="26">
        <f>ROUND((N176*O176/1000),3)</f>
        <v>7.7210000000000001</v>
      </c>
      <c r="S176" s="25">
        <v>252</v>
      </c>
      <c r="T176" s="26">
        <f>D5</f>
        <v>41.29</v>
      </c>
      <c r="U176" s="25"/>
      <c r="V176" s="25"/>
      <c r="W176" s="26">
        <f>ROUND((S176*T176/1000),3)</f>
        <v>10.404999999999999</v>
      </c>
      <c r="X176" s="26">
        <f>D176+I176+N176+S176</f>
        <v>880</v>
      </c>
      <c r="Y176" s="26"/>
      <c r="Z176" s="26">
        <f>H176+M176+R176+W176</f>
        <v>36.083999999999996</v>
      </c>
      <c r="AA176" s="96"/>
      <c r="AB176" s="15">
        <v>880</v>
      </c>
      <c r="AC176" s="15">
        <v>880</v>
      </c>
    </row>
    <row r="177" spans="1:29" ht="12" customHeight="1" x14ac:dyDescent="0.2">
      <c r="A177" s="24"/>
      <c r="B177" s="140" t="s">
        <v>92</v>
      </c>
      <c r="C177" s="190" t="s">
        <v>44</v>
      </c>
      <c r="D177" s="25">
        <v>127.2</v>
      </c>
      <c r="E177" s="26">
        <f>M8</f>
        <v>870</v>
      </c>
      <c r="F177" s="26"/>
      <c r="G177" s="26"/>
      <c r="H177" s="26">
        <f>ROUND((D177*E177/1000),3)</f>
        <v>110.664</v>
      </c>
      <c r="I177" s="95">
        <v>42.9</v>
      </c>
      <c r="J177" s="26">
        <f>M8</f>
        <v>870</v>
      </c>
      <c r="K177" s="26"/>
      <c r="L177" s="26"/>
      <c r="M177" s="26">
        <f>ROUND((I177*J177/1000),3)</f>
        <v>37.323</v>
      </c>
      <c r="N177" s="26">
        <v>26.2</v>
      </c>
      <c r="O177" s="26">
        <f>N8</f>
        <v>870</v>
      </c>
      <c r="P177" s="26"/>
      <c r="Q177" s="26"/>
      <c r="R177" s="26">
        <f>ROUND((N177*O177/1000),3)</f>
        <v>22.794</v>
      </c>
      <c r="S177" s="26">
        <v>19.742000000000001</v>
      </c>
      <c r="T177" s="26">
        <f>N8</f>
        <v>870</v>
      </c>
      <c r="U177" s="26"/>
      <c r="V177" s="26"/>
      <c r="W177" s="26">
        <f>ROUND((S177*T177/1000),3)</f>
        <v>17.175999999999998</v>
      </c>
      <c r="X177" s="26">
        <f>D177+I177+N177+S177</f>
        <v>216.04199999999997</v>
      </c>
      <c r="Y177" s="26"/>
      <c r="Z177" s="26">
        <f>H177+M177+R177+W177</f>
        <v>187.95699999999999</v>
      </c>
      <c r="AA177" s="60"/>
      <c r="AB177" s="15">
        <v>210.7</v>
      </c>
      <c r="AC177" s="15">
        <v>210.7</v>
      </c>
    </row>
    <row r="178" spans="1:29" ht="12" customHeight="1" x14ac:dyDescent="0.2">
      <c r="A178" s="24" t="s">
        <v>201</v>
      </c>
      <c r="B178" s="27" t="s">
        <v>320</v>
      </c>
      <c r="C178" s="190"/>
      <c r="D178" s="25"/>
      <c r="E178" s="26"/>
      <c r="F178" s="26"/>
      <c r="G178" s="26"/>
      <c r="H178" s="26"/>
      <c r="I178" s="97"/>
      <c r="J178" s="26"/>
      <c r="K178" s="26"/>
      <c r="L178" s="26"/>
      <c r="M178" s="26"/>
      <c r="N178" s="25"/>
      <c r="O178" s="26"/>
      <c r="P178" s="26"/>
      <c r="Q178" s="26"/>
      <c r="R178" s="26"/>
      <c r="S178" s="25"/>
      <c r="T178" s="26"/>
      <c r="U178" s="26"/>
      <c r="V178" s="26"/>
      <c r="W178" s="26"/>
      <c r="X178" s="26"/>
      <c r="Y178" s="26"/>
      <c r="Z178" s="26"/>
      <c r="AA178" s="96"/>
    </row>
    <row r="179" spans="1:29" ht="12" customHeight="1" x14ac:dyDescent="0.2">
      <c r="A179" s="24"/>
      <c r="B179" s="93" t="s">
        <v>64</v>
      </c>
      <c r="C179" s="190" t="s">
        <v>68</v>
      </c>
      <c r="D179" s="25">
        <v>234</v>
      </c>
      <c r="E179" s="26">
        <f>C2</f>
        <v>43.81</v>
      </c>
      <c r="F179" s="26"/>
      <c r="G179" s="26"/>
      <c r="H179" s="26">
        <f>ROUND((D179*E179/1000),3)</f>
        <v>10.252000000000001</v>
      </c>
      <c r="I179" s="97">
        <v>161</v>
      </c>
      <c r="J179" s="26">
        <f>C2</f>
        <v>43.81</v>
      </c>
      <c r="K179" s="26"/>
      <c r="L179" s="26"/>
      <c r="M179" s="26">
        <f>ROUND((I179*J179/1000),3)</f>
        <v>7.0529999999999999</v>
      </c>
      <c r="N179" s="25">
        <v>129</v>
      </c>
      <c r="O179" s="26">
        <f>D2</f>
        <v>51.02</v>
      </c>
      <c r="P179" s="26"/>
      <c r="Q179" s="26"/>
      <c r="R179" s="26">
        <f>ROUND((N179*O179/1000),3)</f>
        <v>6.5819999999999999</v>
      </c>
      <c r="S179" s="25">
        <v>245</v>
      </c>
      <c r="T179" s="26">
        <f>D2</f>
        <v>51.02</v>
      </c>
      <c r="U179" s="26"/>
      <c r="V179" s="26"/>
      <c r="W179" s="26">
        <f>ROUND((S179*T179/1000),3)</f>
        <v>12.5</v>
      </c>
      <c r="X179" s="26">
        <f>D179+I179+N179+S179</f>
        <v>769</v>
      </c>
      <c r="Y179" s="26"/>
      <c r="Z179" s="26">
        <f>H179+M179+R179+W179</f>
        <v>36.387</v>
      </c>
      <c r="AA179" s="96"/>
      <c r="AB179" s="15">
        <v>873</v>
      </c>
      <c r="AC179" s="15">
        <v>801</v>
      </c>
    </row>
    <row r="180" spans="1:29" ht="11.25" customHeight="1" x14ac:dyDescent="0.2">
      <c r="A180" s="24"/>
      <c r="B180" s="93" t="s">
        <v>43</v>
      </c>
      <c r="C180" s="190" t="s">
        <v>68</v>
      </c>
      <c r="D180" s="25">
        <f>D179</f>
        <v>234</v>
      </c>
      <c r="E180" s="25">
        <f>H2</f>
        <v>42.68</v>
      </c>
      <c r="F180" s="25"/>
      <c r="G180" s="25"/>
      <c r="H180" s="26">
        <f>ROUND((D180*E180/1000),3)</f>
        <v>9.9870000000000001</v>
      </c>
      <c r="I180" s="95">
        <f>I179</f>
        <v>161</v>
      </c>
      <c r="J180" s="26">
        <f>H2</f>
        <v>42.68</v>
      </c>
      <c r="K180" s="25"/>
      <c r="L180" s="25"/>
      <c r="M180" s="26">
        <f>ROUND((I180*J180/1000),3)</f>
        <v>6.8710000000000004</v>
      </c>
      <c r="N180" s="26">
        <f>N179</f>
        <v>129</v>
      </c>
      <c r="O180" s="26">
        <f>I2</f>
        <v>43.26</v>
      </c>
      <c r="P180" s="25"/>
      <c r="Q180" s="25"/>
      <c r="R180" s="26">
        <f>ROUND((N180*O180/1000),3)</f>
        <v>5.5810000000000004</v>
      </c>
      <c r="S180" s="26">
        <f>S179</f>
        <v>245</v>
      </c>
      <c r="T180" s="26">
        <f>I2</f>
        <v>43.26</v>
      </c>
      <c r="U180" s="25"/>
      <c r="V180" s="25"/>
      <c r="W180" s="26">
        <f>ROUND((S180*T180/1000),3)</f>
        <v>10.599</v>
      </c>
      <c r="X180" s="26">
        <f>D180+I180+N180+S180</f>
        <v>769</v>
      </c>
      <c r="Y180" s="26"/>
      <c r="Z180" s="26">
        <f>H180+M180+R180+W180</f>
        <v>33.037999999999997</v>
      </c>
      <c r="AA180" s="96"/>
      <c r="AB180" s="15">
        <v>873</v>
      </c>
      <c r="AC180" s="15">
        <v>801</v>
      </c>
    </row>
    <row r="181" spans="1:29" ht="12" customHeight="1" x14ac:dyDescent="0.2">
      <c r="A181" s="24" t="s">
        <v>202</v>
      </c>
      <c r="B181" s="142" t="s">
        <v>321</v>
      </c>
      <c r="C181" s="190"/>
      <c r="D181" s="25"/>
      <c r="E181" s="25"/>
      <c r="F181" s="25"/>
      <c r="G181" s="25"/>
      <c r="H181" s="26"/>
      <c r="I181" s="95"/>
      <c r="J181" s="26"/>
      <c r="K181" s="25"/>
      <c r="L181" s="25"/>
      <c r="M181" s="26"/>
      <c r="N181" s="26"/>
      <c r="O181" s="26"/>
      <c r="P181" s="25"/>
      <c r="Q181" s="25"/>
      <c r="R181" s="26"/>
      <c r="S181" s="26"/>
      <c r="T181" s="26"/>
      <c r="U181" s="25"/>
      <c r="V181" s="25"/>
      <c r="W181" s="26"/>
      <c r="X181" s="26"/>
      <c r="Y181" s="26"/>
      <c r="Z181" s="26"/>
      <c r="AA181" s="96"/>
    </row>
    <row r="182" spans="1:29" ht="12" customHeight="1" x14ac:dyDescent="0.2">
      <c r="A182" s="24"/>
      <c r="B182" s="93" t="s">
        <v>64</v>
      </c>
      <c r="C182" s="190" t="s">
        <v>41</v>
      </c>
      <c r="D182" s="25">
        <v>79</v>
      </c>
      <c r="E182" s="25">
        <f>C2</f>
        <v>43.81</v>
      </c>
      <c r="F182" s="25"/>
      <c r="G182" s="25"/>
      <c r="H182" s="26">
        <f>ROUND((D182*E182/1000),3)</f>
        <v>3.4609999999999999</v>
      </c>
      <c r="I182" s="95">
        <v>46</v>
      </c>
      <c r="J182" s="26">
        <f>C2</f>
        <v>43.81</v>
      </c>
      <c r="K182" s="25"/>
      <c r="L182" s="25"/>
      <c r="M182" s="26">
        <f>ROUND((I182*J182/1000),3)</f>
        <v>2.0150000000000001</v>
      </c>
      <c r="N182" s="26">
        <v>76</v>
      </c>
      <c r="O182" s="26">
        <f>D2</f>
        <v>51.02</v>
      </c>
      <c r="P182" s="25"/>
      <c r="Q182" s="25"/>
      <c r="R182" s="26">
        <f>ROUND((N182*O182/1000),3)</f>
        <v>3.8780000000000001</v>
      </c>
      <c r="S182" s="26">
        <v>69</v>
      </c>
      <c r="T182" s="26">
        <f>D2</f>
        <v>51.02</v>
      </c>
      <c r="U182" s="25"/>
      <c r="V182" s="25"/>
      <c r="W182" s="26">
        <f>ROUND((S182*T182/1000),3)</f>
        <v>3.52</v>
      </c>
      <c r="X182" s="26">
        <f>D182+I182+N182+S182</f>
        <v>270</v>
      </c>
      <c r="Y182" s="26"/>
      <c r="Z182" s="26">
        <f>H182+M182+R182+W182</f>
        <v>12.873999999999999</v>
      </c>
      <c r="AA182" s="96"/>
      <c r="AB182" s="15">
        <v>267</v>
      </c>
      <c r="AC182" s="15">
        <v>270</v>
      </c>
    </row>
    <row r="183" spans="1:29" ht="12" customHeight="1" x14ac:dyDescent="0.2">
      <c r="A183" s="24" t="s">
        <v>203</v>
      </c>
      <c r="B183" s="142" t="s">
        <v>322</v>
      </c>
      <c r="C183" s="190"/>
      <c r="D183" s="25"/>
      <c r="E183" s="25"/>
      <c r="F183" s="25"/>
      <c r="G183" s="25"/>
      <c r="H183" s="26"/>
      <c r="I183" s="95"/>
      <c r="J183" s="26"/>
      <c r="K183" s="25"/>
      <c r="L183" s="25"/>
      <c r="M183" s="26"/>
      <c r="N183" s="26"/>
      <c r="O183" s="26"/>
      <c r="P183" s="25"/>
      <c r="Q183" s="25"/>
      <c r="R183" s="26"/>
      <c r="S183" s="26"/>
      <c r="T183" s="26"/>
      <c r="U183" s="25"/>
      <c r="V183" s="25"/>
      <c r="W183" s="26"/>
      <c r="X183" s="26"/>
      <c r="Y183" s="26"/>
      <c r="Z183" s="26"/>
      <c r="AA183" s="96"/>
    </row>
    <row r="184" spans="1:29" ht="12" customHeight="1" x14ac:dyDescent="0.2">
      <c r="A184" s="24"/>
      <c r="B184" s="93" t="s">
        <v>64</v>
      </c>
      <c r="C184" s="190" t="s">
        <v>38</v>
      </c>
      <c r="D184" s="25">
        <v>140</v>
      </c>
      <c r="E184" s="26">
        <f>C1</f>
        <v>42.67</v>
      </c>
      <c r="F184" s="26"/>
      <c r="G184" s="26"/>
      <c r="H184" s="26">
        <f>ROUND((D184*E184/1000),3)</f>
        <v>5.9740000000000002</v>
      </c>
      <c r="I184" s="95">
        <v>154</v>
      </c>
      <c r="J184" s="26">
        <f>C1</f>
        <v>42.67</v>
      </c>
      <c r="K184" s="26"/>
      <c r="L184" s="26"/>
      <c r="M184" s="26">
        <f>ROUND((I184*J184/1000),3)</f>
        <v>6.5709999999999997</v>
      </c>
      <c r="N184" s="26">
        <v>148</v>
      </c>
      <c r="O184" s="26">
        <f>D1</f>
        <v>44.63</v>
      </c>
      <c r="P184" s="26"/>
      <c r="Q184" s="26"/>
      <c r="R184" s="26">
        <f>ROUND((N184*O184/1000),3)</f>
        <v>6.6050000000000004</v>
      </c>
      <c r="S184" s="26">
        <v>137</v>
      </c>
      <c r="T184" s="26">
        <f>D1</f>
        <v>44.63</v>
      </c>
      <c r="U184" s="26"/>
      <c r="V184" s="26"/>
      <c r="W184" s="26">
        <f>ROUND((S184*T184/1000),3)</f>
        <v>6.1139999999999999</v>
      </c>
      <c r="X184" s="26">
        <f>D184+I184+N184+S184</f>
        <v>579</v>
      </c>
      <c r="Y184" s="26"/>
      <c r="Z184" s="26">
        <f>H184+M184+R184+W184</f>
        <v>25.263999999999999</v>
      </c>
      <c r="AA184" s="96"/>
      <c r="AB184" s="15">
        <v>595</v>
      </c>
      <c r="AC184" s="15">
        <v>595</v>
      </c>
    </row>
    <row r="185" spans="1:29" ht="12" customHeight="1" x14ac:dyDescent="0.2">
      <c r="A185" s="24"/>
      <c r="B185" s="140" t="s">
        <v>92</v>
      </c>
      <c r="C185" s="190" t="s">
        <v>44</v>
      </c>
      <c r="D185" s="25">
        <v>21.6</v>
      </c>
      <c r="E185" s="26">
        <f>C8</f>
        <v>410.28</v>
      </c>
      <c r="F185" s="26"/>
      <c r="G185" s="26"/>
      <c r="H185" s="26">
        <f>ROUND((D185*E185/1000),3)</f>
        <v>8.8620000000000001</v>
      </c>
      <c r="I185" s="95">
        <v>21.6</v>
      </c>
      <c r="J185" s="26">
        <f>C8</f>
        <v>410.28</v>
      </c>
      <c r="K185" s="26"/>
      <c r="L185" s="26"/>
      <c r="M185" s="26">
        <f>ROUND((I185*J185/1000),3)</f>
        <v>8.8620000000000001</v>
      </c>
      <c r="N185" s="26">
        <v>21.6</v>
      </c>
      <c r="O185" s="26">
        <f>D8</f>
        <v>410.28</v>
      </c>
      <c r="P185" s="26"/>
      <c r="Q185" s="26"/>
      <c r="R185" s="26">
        <f>ROUND((N185*O185/1000),3)</f>
        <v>8.8620000000000001</v>
      </c>
      <c r="S185" s="26">
        <v>21.6</v>
      </c>
      <c r="T185" s="26">
        <f>D8</f>
        <v>410.28</v>
      </c>
      <c r="U185" s="26"/>
      <c r="V185" s="26"/>
      <c r="W185" s="26">
        <f>ROUND((S185*T185/1000),3)</f>
        <v>8.8620000000000001</v>
      </c>
      <c r="X185" s="26">
        <f>D185+I185+N185+S185</f>
        <v>86.4</v>
      </c>
      <c r="Y185" s="26"/>
      <c r="Z185" s="26">
        <f>H185+M185+R185+W185</f>
        <v>35.448</v>
      </c>
      <c r="AA185" s="96"/>
      <c r="AB185" s="15">
        <v>86.4</v>
      </c>
      <c r="AC185" s="15">
        <v>86.4</v>
      </c>
    </row>
    <row r="186" spans="1:29" ht="12" customHeight="1" x14ac:dyDescent="0.2">
      <c r="A186" s="24" t="s">
        <v>204</v>
      </c>
      <c r="B186" s="142" t="s">
        <v>323</v>
      </c>
      <c r="C186" s="190"/>
      <c r="D186" s="25"/>
      <c r="E186" s="26"/>
      <c r="F186" s="26"/>
      <c r="G186" s="26"/>
      <c r="H186" s="26"/>
      <c r="I186" s="95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96"/>
    </row>
    <row r="187" spans="1:29" ht="12" customHeight="1" x14ac:dyDescent="0.2">
      <c r="A187" s="24"/>
      <c r="B187" s="144" t="s">
        <v>99</v>
      </c>
      <c r="C187" s="190" t="s">
        <v>38</v>
      </c>
      <c r="D187" s="25">
        <v>33</v>
      </c>
      <c r="E187" s="26">
        <f>C1</f>
        <v>42.67</v>
      </c>
      <c r="F187" s="26"/>
      <c r="G187" s="26"/>
      <c r="H187" s="26">
        <f>ROUND((D187*E187/1000),3)</f>
        <v>1.4079999999999999</v>
      </c>
      <c r="I187" s="95">
        <v>21</v>
      </c>
      <c r="J187" s="26">
        <f>C1</f>
        <v>42.67</v>
      </c>
      <c r="K187" s="26"/>
      <c r="L187" s="26"/>
      <c r="M187" s="26">
        <f>ROUND((I187*J187/1000),3)</f>
        <v>0.89600000000000002</v>
      </c>
      <c r="N187" s="26">
        <v>12</v>
      </c>
      <c r="O187" s="26">
        <f>D1</f>
        <v>44.63</v>
      </c>
      <c r="P187" s="26"/>
      <c r="Q187" s="26"/>
      <c r="R187" s="26">
        <f>ROUND((N187*O187/1000),3)</f>
        <v>0.53600000000000003</v>
      </c>
      <c r="S187" s="26">
        <v>12</v>
      </c>
      <c r="T187" s="26">
        <f>D1</f>
        <v>44.63</v>
      </c>
      <c r="U187" s="26"/>
      <c r="V187" s="26"/>
      <c r="W187" s="26">
        <f>ROUND((S187*T187/1000),3)</f>
        <v>0.53600000000000003</v>
      </c>
      <c r="X187" s="26">
        <f>D187+I187+N187+S187</f>
        <v>78</v>
      </c>
      <c r="Y187" s="26"/>
      <c r="Z187" s="26">
        <f>H187+M187+R187+W187</f>
        <v>3.3759999999999999</v>
      </c>
      <c r="AA187" s="96"/>
      <c r="AB187" s="15">
        <v>83</v>
      </c>
      <c r="AC187" s="15">
        <v>78</v>
      </c>
    </row>
    <row r="188" spans="1:29" ht="12" customHeight="1" x14ac:dyDescent="0.2">
      <c r="A188" s="24" t="s">
        <v>205</v>
      </c>
      <c r="B188" s="142" t="s">
        <v>324</v>
      </c>
      <c r="C188" s="190"/>
      <c r="D188" s="25"/>
      <c r="E188" s="25"/>
      <c r="F188" s="25"/>
      <c r="G188" s="25"/>
      <c r="H188" s="26"/>
      <c r="I188" s="95"/>
      <c r="J188" s="26"/>
      <c r="K188" s="25"/>
      <c r="L188" s="25"/>
      <c r="M188" s="26"/>
      <c r="N188" s="26"/>
      <c r="O188" s="26"/>
      <c r="P188" s="25"/>
      <c r="Q188" s="25"/>
      <c r="R188" s="26"/>
      <c r="S188" s="26"/>
      <c r="T188" s="26"/>
      <c r="U188" s="25"/>
      <c r="V188" s="25"/>
      <c r="W188" s="26"/>
      <c r="X188" s="26"/>
      <c r="Y188" s="26"/>
      <c r="Z188" s="26"/>
      <c r="AA188" s="96"/>
    </row>
    <row r="189" spans="1:29" ht="12" customHeight="1" x14ac:dyDescent="0.2">
      <c r="A189" s="24"/>
      <c r="B189" s="93" t="s">
        <v>64</v>
      </c>
      <c r="C189" s="190" t="s">
        <v>41</v>
      </c>
      <c r="D189" s="25">
        <v>212</v>
      </c>
      <c r="E189" s="25">
        <f>C2</f>
        <v>43.81</v>
      </c>
      <c r="F189" s="25"/>
      <c r="G189" s="25"/>
      <c r="H189" s="26">
        <f>ROUND((D189*E189/1000),3)</f>
        <v>9.2880000000000003</v>
      </c>
      <c r="I189" s="95">
        <v>209</v>
      </c>
      <c r="J189" s="26">
        <f>C2</f>
        <v>43.81</v>
      </c>
      <c r="K189" s="25"/>
      <c r="L189" s="25"/>
      <c r="M189" s="26">
        <f>ROUND((I189*J189/1000),3)</f>
        <v>9.1560000000000006</v>
      </c>
      <c r="N189" s="26">
        <v>193</v>
      </c>
      <c r="O189" s="26">
        <f>D2</f>
        <v>51.02</v>
      </c>
      <c r="P189" s="25"/>
      <c r="Q189" s="25"/>
      <c r="R189" s="26">
        <f>ROUND((N189*O189/1000),3)</f>
        <v>9.8469999999999995</v>
      </c>
      <c r="S189" s="26">
        <v>205</v>
      </c>
      <c r="T189" s="26">
        <f>D2</f>
        <v>51.02</v>
      </c>
      <c r="U189" s="25"/>
      <c r="V189" s="25"/>
      <c r="W189" s="26">
        <f>ROUND((S189*T189/1000),3)</f>
        <v>10.459</v>
      </c>
      <c r="X189" s="26">
        <f>D189+I189+N189+S189</f>
        <v>819</v>
      </c>
      <c r="Y189" s="26"/>
      <c r="Z189" s="26">
        <f>H189+M189+R189+W189</f>
        <v>38.75</v>
      </c>
      <c r="AA189" s="96"/>
      <c r="AB189" s="15">
        <v>166</v>
      </c>
      <c r="AC189" s="15">
        <v>150</v>
      </c>
    </row>
    <row r="190" spans="1:29" ht="12" customHeight="1" x14ac:dyDescent="0.2">
      <c r="A190" s="24"/>
      <c r="B190" s="140" t="s">
        <v>92</v>
      </c>
      <c r="C190" s="190" t="s">
        <v>41</v>
      </c>
      <c r="D190" s="25">
        <v>3.6</v>
      </c>
      <c r="E190" s="26">
        <f>H8</f>
        <v>620</v>
      </c>
      <c r="F190" s="26"/>
      <c r="G190" s="26"/>
      <c r="H190" s="26">
        <f>ROUND((D190*E190/1000),3)</f>
        <v>2.2320000000000002</v>
      </c>
      <c r="I190" s="95">
        <v>3.6</v>
      </c>
      <c r="J190" s="26">
        <f>H8</f>
        <v>620</v>
      </c>
      <c r="K190" s="26"/>
      <c r="L190" s="26"/>
      <c r="M190" s="26">
        <f>ROUND((I190*J190/1000),3)</f>
        <v>2.2320000000000002</v>
      </c>
      <c r="N190" s="26">
        <v>3.6</v>
      </c>
      <c r="O190" s="26">
        <f>I8</f>
        <v>620</v>
      </c>
      <c r="P190" s="26"/>
      <c r="Q190" s="26"/>
      <c r="R190" s="26">
        <f>ROUND((N190*O190/1000),3)</f>
        <v>2.2320000000000002</v>
      </c>
      <c r="S190" s="26">
        <v>3.6</v>
      </c>
      <c r="T190" s="26">
        <f>I8</f>
        <v>620</v>
      </c>
      <c r="U190" s="26"/>
      <c r="V190" s="26"/>
      <c r="W190" s="26">
        <f>ROUND((S190*T190/1000),3)</f>
        <v>2.2320000000000002</v>
      </c>
      <c r="X190" s="26">
        <f>D190+I190+N190+S190</f>
        <v>14.4</v>
      </c>
      <c r="Y190" s="26"/>
      <c r="Z190" s="26">
        <f>H190+M190+R190+W190</f>
        <v>8.9280000000000008</v>
      </c>
      <c r="AA190" s="96"/>
      <c r="AB190" s="15">
        <v>14.4</v>
      </c>
      <c r="AC190" s="15">
        <v>14.4</v>
      </c>
    </row>
    <row r="191" spans="1:29" ht="12" customHeight="1" x14ac:dyDescent="0.2">
      <c r="A191" s="24" t="s">
        <v>206</v>
      </c>
      <c r="B191" s="142" t="s">
        <v>325</v>
      </c>
      <c r="C191" s="190"/>
      <c r="D191" s="25"/>
      <c r="E191" s="25"/>
      <c r="F191" s="25"/>
      <c r="G191" s="25"/>
      <c r="H191" s="26"/>
      <c r="I191" s="95"/>
      <c r="J191" s="26"/>
      <c r="K191" s="25"/>
      <c r="L191" s="25"/>
      <c r="M191" s="26"/>
      <c r="N191" s="26"/>
      <c r="O191" s="26"/>
      <c r="P191" s="25"/>
      <c r="Q191" s="25"/>
      <c r="R191" s="26"/>
      <c r="S191" s="26"/>
      <c r="T191" s="26"/>
      <c r="U191" s="25"/>
      <c r="V191" s="25"/>
      <c r="W191" s="26"/>
      <c r="X191" s="26"/>
      <c r="Y191" s="26"/>
      <c r="Z191" s="26"/>
      <c r="AA191" s="96"/>
    </row>
    <row r="192" spans="1:29" ht="12" customHeight="1" x14ac:dyDescent="0.2">
      <c r="A192" s="24"/>
      <c r="B192" s="93" t="s">
        <v>64</v>
      </c>
      <c r="C192" s="190" t="s">
        <v>41</v>
      </c>
      <c r="D192" s="25">
        <v>41</v>
      </c>
      <c r="E192" s="25">
        <f>C2</f>
        <v>43.81</v>
      </c>
      <c r="F192" s="25"/>
      <c r="G192" s="25"/>
      <c r="H192" s="26">
        <f>ROUND((D192*E192/1000),3)</f>
        <v>1.796</v>
      </c>
      <c r="I192" s="95">
        <v>30</v>
      </c>
      <c r="J192" s="26">
        <f>C2</f>
        <v>43.81</v>
      </c>
      <c r="K192" s="25"/>
      <c r="L192" s="25"/>
      <c r="M192" s="26">
        <f>ROUND((I192*J192/1000),3)</f>
        <v>1.3140000000000001</v>
      </c>
      <c r="N192" s="26">
        <v>17</v>
      </c>
      <c r="O192" s="26">
        <f>D2</f>
        <v>51.02</v>
      </c>
      <c r="P192" s="25"/>
      <c r="Q192" s="25"/>
      <c r="R192" s="26">
        <f>ROUND((N192*O192/1000),3)</f>
        <v>0.86699999999999999</v>
      </c>
      <c r="S192" s="26">
        <v>37</v>
      </c>
      <c r="T192" s="26">
        <f>D2</f>
        <v>51.02</v>
      </c>
      <c r="U192" s="25"/>
      <c r="V192" s="25"/>
      <c r="W192" s="26">
        <f>ROUND((S192*T192/1000),3)</f>
        <v>1.8879999999999999</v>
      </c>
      <c r="X192" s="26">
        <f>D192+I192+N192+S192</f>
        <v>125</v>
      </c>
      <c r="Y192" s="26"/>
      <c r="Z192" s="26">
        <f>H192+M192+R192+W192</f>
        <v>5.8650000000000002</v>
      </c>
      <c r="AA192" s="96"/>
      <c r="AB192" s="15">
        <v>140</v>
      </c>
      <c r="AC192" s="15">
        <v>125</v>
      </c>
    </row>
    <row r="193" spans="1:31" ht="12" customHeight="1" x14ac:dyDescent="0.2">
      <c r="A193" s="24" t="s">
        <v>207</v>
      </c>
      <c r="B193" s="142" t="s">
        <v>326</v>
      </c>
      <c r="C193" s="190"/>
      <c r="D193" s="25"/>
      <c r="E193" s="25"/>
      <c r="F193" s="25"/>
      <c r="G193" s="25"/>
      <c r="H193" s="26"/>
      <c r="I193" s="95"/>
      <c r="J193" s="26"/>
      <c r="K193" s="25"/>
      <c r="L193" s="25"/>
      <c r="M193" s="26"/>
      <c r="N193" s="26"/>
      <c r="O193" s="26"/>
      <c r="P193" s="25"/>
      <c r="Q193" s="25"/>
      <c r="R193" s="26"/>
      <c r="S193" s="26"/>
      <c r="T193" s="26"/>
      <c r="U193" s="25"/>
      <c r="V193" s="25"/>
      <c r="W193" s="26"/>
      <c r="X193" s="26"/>
      <c r="Y193" s="26"/>
      <c r="Z193" s="26"/>
      <c r="AA193" s="96"/>
    </row>
    <row r="194" spans="1:31" ht="12" customHeight="1" x14ac:dyDescent="0.2">
      <c r="A194" s="24"/>
      <c r="B194" s="93" t="s">
        <v>64</v>
      </c>
      <c r="C194" s="190" t="s">
        <v>41</v>
      </c>
      <c r="D194" s="25">
        <v>195</v>
      </c>
      <c r="E194" s="25">
        <f>C2</f>
        <v>43.81</v>
      </c>
      <c r="F194" s="25"/>
      <c r="G194" s="25"/>
      <c r="H194" s="26">
        <f>ROUND((D194*E194/1000),3)</f>
        <v>8.5429999999999993</v>
      </c>
      <c r="I194" s="95">
        <v>252</v>
      </c>
      <c r="J194" s="26">
        <f>C2</f>
        <v>43.81</v>
      </c>
      <c r="K194" s="25"/>
      <c r="L194" s="25"/>
      <c r="M194" s="26">
        <f>ROUND((I194*J194/1000),3)</f>
        <v>11.04</v>
      </c>
      <c r="N194" s="26">
        <v>113</v>
      </c>
      <c r="O194" s="26">
        <f>D2</f>
        <v>51.02</v>
      </c>
      <c r="P194" s="25"/>
      <c r="Q194" s="25"/>
      <c r="R194" s="26">
        <f>ROUND((N194*O194/1000),3)</f>
        <v>5.7649999999999997</v>
      </c>
      <c r="S194" s="26">
        <v>166</v>
      </c>
      <c r="T194" s="26">
        <f>D2</f>
        <v>51.02</v>
      </c>
      <c r="U194" s="25"/>
      <c r="V194" s="25"/>
      <c r="W194" s="26">
        <f>ROUND((S194*T194/1000),3)</f>
        <v>8.4689999999999994</v>
      </c>
      <c r="X194" s="26">
        <f>D194+I194+N194+S194</f>
        <v>726</v>
      </c>
      <c r="Y194" s="26"/>
      <c r="Z194" s="26">
        <f>H194+M194+R194+W194</f>
        <v>33.817</v>
      </c>
      <c r="AA194" s="96"/>
      <c r="AB194" s="15">
        <v>719</v>
      </c>
      <c r="AC194" s="15">
        <v>779</v>
      </c>
      <c r="AE194" s="15">
        <v>39793</v>
      </c>
    </row>
    <row r="195" spans="1:31" ht="12" customHeight="1" x14ac:dyDescent="0.2">
      <c r="A195" s="24"/>
      <c r="B195" s="140" t="s">
        <v>92</v>
      </c>
      <c r="C195" s="190" t="s">
        <v>41</v>
      </c>
      <c r="D195" s="25">
        <v>11.8</v>
      </c>
      <c r="E195" s="26">
        <f>H8</f>
        <v>620</v>
      </c>
      <c r="F195" s="26"/>
      <c r="G195" s="26"/>
      <c r="H195" s="26">
        <f>ROUND((D195*E195/1000),3)</f>
        <v>7.3159999999999998</v>
      </c>
      <c r="I195" s="95">
        <v>6.3</v>
      </c>
      <c r="J195" s="26">
        <f>H8</f>
        <v>620</v>
      </c>
      <c r="K195" s="26"/>
      <c r="L195" s="26"/>
      <c r="M195" s="26">
        <f>ROUND((I195*J195/1000),3)</f>
        <v>3.9060000000000001</v>
      </c>
      <c r="N195" s="26">
        <v>6.3</v>
      </c>
      <c r="O195" s="26">
        <f>I8</f>
        <v>620</v>
      </c>
      <c r="P195" s="26"/>
      <c r="Q195" s="26"/>
      <c r="R195" s="26">
        <f>ROUND((N195*O195/1000),3)</f>
        <v>3.9060000000000001</v>
      </c>
      <c r="S195" s="26">
        <v>6.3</v>
      </c>
      <c r="T195" s="26">
        <f>I8</f>
        <v>620</v>
      </c>
      <c r="U195" s="26"/>
      <c r="V195" s="26"/>
      <c r="W195" s="26">
        <f>ROUND((S195*T195/1000),3)</f>
        <v>3.9060000000000001</v>
      </c>
      <c r="X195" s="26">
        <f>D195+I195+N195+S195</f>
        <v>30.700000000000003</v>
      </c>
      <c r="Y195" s="26"/>
      <c r="Z195" s="26">
        <f>H195+M195+R195+W195</f>
        <v>19.033999999999999</v>
      </c>
      <c r="AA195" s="96"/>
      <c r="AB195" s="15">
        <v>25.2</v>
      </c>
      <c r="AC195" s="15">
        <v>25.2</v>
      </c>
    </row>
    <row r="196" spans="1:31" ht="12" customHeight="1" x14ac:dyDescent="0.2">
      <c r="A196" s="24" t="s">
        <v>208</v>
      </c>
      <c r="B196" s="27" t="s">
        <v>327</v>
      </c>
      <c r="C196" s="190"/>
      <c r="D196" s="25"/>
      <c r="E196" s="26"/>
      <c r="F196" s="26"/>
      <c r="G196" s="26"/>
      <c r="H196" s="26"/>
      <c r="I196" s="97"/>
      <c r="J196" s="26"/>
      <c r="K196" s="26"/>
      <c r="L196" s="26"/>
      <c r="M196" s="26"/>
      <c r="N196" s="25"/>
      <c r="O196" s="26"/>
      <c r="P196" s="26"/>
      <c r="Q196" s="26"/>
      <c r="R196" s="26"/>
      <c r="S196" s="25"/>
      <c r="T196" s="26"/>
      <c r="U196" s="26"/>
      <c r="V196" s="26"/>
      <c r="W196" s="26"/>
      <c r="X196" s="26"/>
      <c r="Y196" s="26"/>
      <c r="Z196" s="26"/>
      <c r="AA196" s="96"/>
    </row>
    <row r="197" spans="1:31" ht="12" customHeight="1" x14ac:dyDescent="0.2">
      <c r="A197" s="24"/>
      <c r="B197" s="93" t="s">
        <v>64</v>
      </c>
      <c r="C197" s="190" t="s">
        <v>101</v>
      </c>
      <c r="D197" s="25">
        <v>102</v>
      </c>
      <c r="E197" s="26">
        <f>C6</f>
        <v>35.32</v>
      </c>
      <c r="F197" s="26"/>
      <c r="G197" s="26"/>
      <c r="H197" s="26">
        <f>ROUND((D197*E197/1000),3)</f>
        <v>3.6030000000000002</v>
      </c>
      <c r="I197" s="97">
        <v>78</v>
      </c>
      <c r="J197" s="26">
        <f>C6</f>
        <v>35.32</v>
      </c>
      <c r="K197" s="26"/>
      <c r="L197" s="26"/>
      <c r="M197" s="26">
        <f>ROUND((I197*J197/1000),3)</f>
        <v>2.7549999999999999</v>
      </c>
      <c r="N197" s="25">
        <v>60</v>
      </c>
      <c r="O197" s="26">
        <f>D6</f>
        <v>35.32</v>
      </c>
      <c r="P197" s="26"/>
      <c r="Q197" s="26"/>
      <c r="R197" s="26">
        <f>ROUND((N197*O197/1000),3)</f>
        <v>2.1190000000000002</v>
      </c>
      <c r="S197" s="25">
        <v>182</v>
      </c>
      <c r="T197" s="26">
        <f>D6</f>
        <v>35.32</v>
      </c>
      <c r="U197" s="26"/>
      <c r="V197" s="26"/>
      <c r="W197" s="26">
        <f>ROUND((S197*T197/1000),3)</f>
        <v>6.4279999999999999</v>
      </c>
      <c r="X197" s="26">
        <f>D197+I197+N197+S197</f>
        <v>422</v>
      </c>
      <c r="Y197" s="26"/>
      <c r="Z197" s="26">
        <f>H197+M197+R197+W197</f>
        <v>14.905000000000001</v>
      </c>
      <c r="AA197" s="96"/>
      <c r="AB197" s="15">
        <v>278</v>
      </c>
      <c r="AC197" s="228">
        <v>342</v>
      </c>
    </row>
    <row r="198" spans="1:31" ht="12" customHeight="1" x14ac:dyDescent="0.2">
      <c r="A198" s="24" t="s">
        <v>209</v>
      </c>
      <c r="B198" s="27" t="s">
        <v>328</v>
      </c>
      <c r="C198" s="190"/>
      <c r="D198" s="25"/>
      <c r="E198" s="26"/>
      <c r="F198" s="26"/>
      <c r="G198" s="26"/>
      <c r="H198" s="26"/>
      <c r="I198" s="97"/>
      <c r="J198" s="26"/>
      <c r="K198" s="26"/>
      <c r="L198" s="26"/>
      <c r="M198" s="26"/>
      <c r="N198" s="25"/>
      <c r="O198" s="26"/>
      <c r="P198" s="26"/>
      <c r="Q198" s="26"/>
      <c r="R198" s="26"/>
      <c r="S198" s="25"/>
      <c r="T198" s="26"/>
      <c r="U198" s="26"/>
      <c r="V198" s="26"/>
      <c r="W198" s="26"/>
      <c r="X198" s="26"/>
      <c r="Y198" s="26"/>
      <c r="Z198" s="26"/>
      <c r="AA198" s="96"/>
    </row>
    <row r="199" spans="1:31" ht="12" customHeight="1" x14ac:dyDescent="0.2">
      <c r="A199" s="24"/>
      <c r="B199" s="93" t="s">
        <v>64</v>
      </c>
      <c r="C199" s="190" t="s">
        <v>101</v>
      </c>
      <c r="D199" s="25">
        <v>254</v>
      </c>
      <c r="E199" s="26">
        <f>C6</f>
        <v>35.32</v>
      </c>
      <c r="F199" s="26"/>
      <c r="G199" s="26"/>
      <c r="H199" s="26">
        <f>ROUND((D199*E199/1000),3)</f>
        <v>8.9710000000000001</v>
      </c>
      <c r="I199" s="97">
        <v>246</v>
      </c>
      <c r="J199" s="26">
        <f>C6</f>
        <v>35.32</v>
      </c>
      <c r="K199" s="26"/>
      <c r="L199" s="26"/>
      <c r="M199" s="26">
        <f>ROUND((I199*J199/1000),3)</f>
        <v>8.6890000000000001</v>
      </c>
      <c r="N199" s="25">
        <v>122</v>
      </c>
      <c r="O199" s="26">
        <f>D6</f>
        <v>35.32</v>
      </c>
      <c r="P199" s="26"/>
      <c r="Q199" s="26"/>
      <c r="R199" s="26">
        <f>ROUND((N199*O199/1000),3)</f>
        <v>4.3090000000000002</v>
      </c>
      <c r="S199" s="25">
        <v>279</v>
      </c>
      <c r="T199" s="26">
        <f>D6</f>
        <v>35.32</v>
      </c>
      <c r="U199" s="26"/>
      <c r="V199" s="26"/>
      <c r="W199" s="26">
        <f>ROUND((S199*T199/1000),3)</f>
        <v>9.8539999999999992</v>
      </c>
      <c r="X199" s="26">
        <f>D199+I199+N199+S199</f>
        <v>901</v>
      </c>
      <c r="Y199" s="26"/>
      <c r="Z199" s="26">
        <f>H199+M199+R199+W199</f>
        <v>31.823</v>
      </c>
      <c r="AA199" s="96"/>
      <c r="AB199" s="15">
        <v>1016</v>
      </c>
      <c r="AC199" s="15">
        <v>1014</v>
      </c>
    </row>
    <row r="200" spans="1:31" ht="12" customHeight="1" x14ac:dyDescent="0.2">
      <c r="A200" s="24" t="s">
        <v>210</v>
      </c>
      <c r="B200" s="27" t="s">
        <v>329</v>
      </c>
      <c r="C200" s="190"/>
      <c r="D200" s="25"/>
      <c r="E200" s="26"/>
      <c r="F200" s="26"/>
      <c r="G200" s="26"/>
      <c r="H200" s="26"/>
      <c r="I200" s="97"/>
      <c r="J200" s="26"/>
      <c r="K200" s="26"/>
      <c r="L200" s="26"/>
      <c r="M200" s="26"/>
      <c r="N200" s="25"/>
      <c r="O200" s="26"/>
      <c r="P200" s="26"/>
      <c r="Q200" s="26"/>
      <c r="R200" s="26"/>
      <c r="S200" s="25"/>
      <c r="T200" s="26"/>
      <c r="U200" s="26"/>
      <c r="V200" s="26"/>
      <c r="W200" s="26"/>
      <c r="X200" s="26"/>
      <c r="Y200" s="26"/>
      <c r="Z200" s="26"/>
      <c r="AA200" s="96"/>
    </row>
    <row r="201" spans="1:31" ht="9.75" customHeight="1" x14ac:dyDescent="0.2">
      <c r="A201" s="24"/>
      <c r="B201" s="93" t="s">
        <v>64</v>
      </c>
      <c r="C201" s="190" t="s">
        <v>67</v>
      </c>
      <c r="D201" s="25">
        <v>387</v>
      </c>
      <c r="E201" s="25">
        <f>C3</f>
        <v>32.9</v>
      </c>
      <c r="F201" s="25"/>
      <c r="G201" s="25"/>
      <c r="H201" s="26">
        <f>ROUND((D201*E201/1000),3)</f>
        <v>12.731999999999999</v>
      </c>
      <c r="I201" s="97">
        <v>352</v>
      </c>
      <c r="J201" s="26">
        <f>C3</f>
        <v>32.9</v>
      </c>
      <c r="K201" s="25"/>
      <c r="L201" s="25"/>
      <c r="M201" s="26">
        <f>ROUND((I201*J201/1000),3)</f>
        <v>11.581</v>
      </c>
      <c r="N201" s="25">
        <v>322</v>
      </c>
      <c r="O201" s="26">
        <f>D3</f>
        <v>37.200000000000003</v>
      </c>
      <c r="P201" s="25"/>
      <c r="Q201" s="25"/>
      <c r="R201" s="26">
        <f>ROUND((N201*O201/1000),3)</f>
        <v>11.978</v>
      </c>
      <c r="S201" s="25">
        <v>373</v>
      </c>
      <c r="T201" s="26">
        <f>D3</f>
        <v>37.200000000000003</v>
      </c>
      <c r="U201" s="25"/>
      <c r="V201" s="25"/>
      <c r="W201" s="26">
        <f>ROUND((S201*T201/1000),3)</f>
        <v>13.875999999999999</v>
      </c>
      <c r="X201" s="26">
        <f>D201+I201+N201+S201</f>
        <v>1434</v>
      </c>
      <c r="Y201" s="26"/>
      <c r="Z201" s="26">
        <f>H201+M201+R201+W201</f>
        <v>50.166999999999994</v>
      </c>
      <c r="AA201" s="96"/>
      <c r="AB201" s="15">
        <v>1182</v>
      </c>
      <c r="AC201" s="15">
        <v>1367</v>
      </c>
    </row>
    <row r="202" spans="1:31" ht="11.25" customHeight="1" x14ac:dyDescent="0.2">
      <c r="A202" s="24"/>
      <c r="B202" s="93" t="s">
        <v>43</v>
      </c>
      <c r="C202" s="190" t="s">
        <v>45</v>
      </c>
      <c r="D202" s="25">
        <v>30</v>
      </c>
      <c r="E202" s="26">
        <f>H6</f>
        <v>17.98</v>
      </c>
      <c r="F202" s="26"/>
      <c r="G202" s="26"/>
      <c r="H202" s="26">
        <f>ROUND((D202*E202/1000),3)</f>
        <v>0.53900000000000003</v>
      </c>
      <c r="I202" s="97">
        <v>30</v>
      </c>
      <c r="J202" s="26">
        <f>H6</f>
        <v>17.98</v>
      </c>
      <c r="K202" s="26"/>
      <c r="L202" s="26"/>
      <c r="M202" s="26">
        <f>ROUND((I202*J202/1000),3)</f>
        <v>0.53900000000000003</v>
      </c>
      <c r="N202" s="25">
        <v>30</v>
      </c>
      <c r="O202" s="26">
        <f>I6</f>
        <v>18.7</v>
      </c>
      <c r="P202" s="26"/>
      <c r="Q202" s="26"/>
      <c r="R202" s="26">
        <f>ROUND((N202*O202/1000),3)</f>
        <v>0.56100000000000005</v>
      </c>
      <c r="S202" s="25">
        <v>30</v>
      </c>
      <c r="T202" s="26">
        <f>I6</f>
        <v>18.7</v>
      </c>
      <c r="U202" s="26"/>
      <c r="V202" s="26"/>
      <c r="W202" s="26">
        <f>ROUND((S202*T202/1000),3)</f>
        <v>0.56100000000000005</v>
      </c>
      <c r="X202" s="26">
        <f>D202+I202+N202+S202</f>
        <v>120</v>
      </c>
      <c r="Y202" s="26"/>
      <c r="Z202" s="26">
        <f>H202+M202+R202+W202</f>
        <v>2.2000000000000002</v>
      </c>
      <c r="AA202" s="96"/>
      <c r="AB202" s="143">
        <v>121.6</v>
      </c>
      <c r="AC202" s="15">
        <v>120</v>
      </c>
    </row>
    <row r="203" spans="1:31" ht="9.75" customHeight="1" x14ac:dyDescent="0.2">
      <c r="A203" s="24"/>
      <c r="B203" s="140" t="s">
        <v>92</v>
      </c>
      <c r="C203" s="190" t="s">
        <v>254</v>
      </c>
      <c r="D203" s="25">
        <v>96</v>
      </c>
      <c r="E203" s="26">
        <f>H7</f>
        <v>280</v>
      </c>
      <c r="F203" s="26"/>
      <c r="G203" s="26"/>
      <c r="H203" s="26">
        <f>ROUND((D203*E203/1000),3)</f>
        <v>26.88</v>
      </c>
      <c r="I203" s="95">
        <v>109</v>
      </c>
      <c r="J203" s="26">
        <f>H7</f>
        <v>280</v>
      </c>
      <c r="K203" s="26"/>
      <c r="L203" s="26"/>
      <c r="M203" s="26">
        <f>ROUND((I203*J203/1000),3)</f>
        <v>30.52</v>
      </c>
      <c r="N203" s="26">
        <v>84</v>
      </c>
      <c r="O203" s="26">
        <f>I7</f>
        <v>280</v>
      </c>
      <c r="P203" s="26"/>
      <c r="Q203" s="26"/>
      <c r="R203" s="26">
        <f>ROUND((N203*O203/1000),3)</f>
        <v>23.52</v>
      </c>
      <c r="S203" s="26">
        <v>129</v>
      </c>
      <c r="T203" s="26">
        <f>I7</f>
        <v>280</v>
      </c>
      <c r="U203" s="26"/>
      <c r="V203" s="26"/>
      <c r="W203" s="26">
        <f>ROUND((S203*T203/1000),3)</f>
        <v>36.119999999999997</v>
      </c>
      <c r="X203" s="26">
        <f>D203+I203+N203+S203</f>
        <v>418</v>
      </c>
      <c r="Y203" s="26"/>
      <c r="Z203" s="26">
        <f>H203+M203+R203+W203</f>
        <v>117.03999999999999</v>
      </c>
      <c r="AA203" s="96"/>
      <c r="AB203" s="15">
        <v>408</v>
      </c>
      <c r="AC203" s="15">
        <v>420</v>
      </c>
    </row>
    <row r="204" spans="1:31" ht="12" customHeight="1" x14ac:dyDescent="0.2">
      <c r="A204" s="24" t="s">
        <v>211</v>
      </c>
      <c r="B204" s="27" t="s">
        <v>330</v>
      </c>
      <c r="C204" s="190"/>
      <c r="D204" s="25"/>
      <c r="E204" s="26"/>
      <c r="F204" s="26"/>
      <c r="G204" s="26"/>
      <c r="H204" s="26"/>
      <c r="I204" s="97"/>
      <c r="J204" s="26"/>
      <c r="K204" s="26"/>
      <c r="L204" s="26"/>
      <c r="M204" s="26"/>
      <c r="N204" s="25"/>
      <c r="O204" s="26"/>
      <c r="P204" s="26"/>
      <c r="Q204" s="26"/>
      <c r="R204" s="26"/>
      <c r="S204" s="25"/>
      <c r="T204" s="26"/>
      <c r="U204" s="26"/>
      <c r="V204" s="26"/>
      <c r="W204" s="26"/>
      <c r="X204" s="26"/>
      <c r="Y204" s="26"/>
      <c r="Z204" s="26"/>
      <c r="AA204" s="96"/>
    </row>
    <row r="205" spans="1:31" ht="15" customHeight="1" x14ac:dyDescent="0.2">
      <c r="A205" s="24"/>
      <c r="B205" s="93" t="s">
        <v>64</v>
      </c>
      <c r="C205" s="190" t="s">
        <v>67</v>
      </c>
      <c r="D205" s="25">
        <v>51</v>
      </c>
      <c r="E205" s="25">
        <f>C3</f>
        <v>32.9</v>
      </c>
      <c r="F205" s="25"/>
      <c r="G205" s="25"/>
      <c r="H205" s="26">
        <f>ROUND((D205*E205/1000),3)</f>
        <v>1.6779999999999999</v>
      </c>
      <c r="I205" s="97">
        <v>59</v>
      </c>
      <c r="J205" s="26">
        <f>C3</f>
        <v>32.9</v>
      </c>
      <c r="K205" s="25"/>
      <c r="L205" s="25"/>
      <c r="M205" s="26">
        <f>ROUND((I205*J205/1000),3)</f>
        <v>1.9410000000000001</v>
      </c>
      <c r="N205" s="25">
        <v>138</v>
      </c>
      <c r="O205" s="26">
        <f>D3</f>
        <v>37.200000000000003</v>
      </c>
      <c r="P205" s="25"/>
      <c r="Q205" s="25"/>
      <c r="R205" s="26">
        <f>ROUND((N205*O205/1000),3)</f>
        <v>5.1340000000000003</v>
      </c>
      <c r="S205" s="25">
        <v>161</v>
      </c>
      <c r="T205" s="26">
        <f>D3</f>
        <v>37.200000000000003</v>
      </c>
      <c r="U205" s="25"/>
      <c r="V205" s="25"/>
      <c r="W205" s="26">
        <f>ROUND((S205*T205/1000),3)</f>
        <v>5.9889999999999999</v>
      </c>
      <c r="X205" s="26">
        <f>D205+I205+N205+S205</f>
        <v>409</v>
      </c>
      <c r="Y205" s="26"/>
      <c r="Z205" s="26">
        <f>H205+M205+R205+W205</f>
        <v>14.742000000000001</v>
      </c>
      <c r="AA205" s="96"/>
      <c r="AB205" s="15">
        <v>152</v>
      </c>
      <c r="AC205" s="15">
        <v>166</v>
      </c>
    </row>
    <row r="206" spans="1:31" ht="12.75" customHeight="1" x14ac:dyDescent="0.2">
      <c r="A206" s="24"/>
      <c r="B206" s="140" t="s">
        <v>92</v>
      </c>
      <c r="C206" s="190" t="s">
        <v>254</v>
      </c>
      <c r="D206" s="25">
        <v>12</v>
      </c>
      <c r="E206" s="26">
        <f>H7</f>
        <v>280</v>
      </c>
      <c r="F206" s="26"/>
      <c r="G206" s="26"/>
      <c r="H206" s="26">
        <f>ROUND((D206*E206/1000),3)</f>
        <v>3.36</v>
      </c>
      <c r="I206" s="95">
        <v>12</v>
      </c>
      <c r="J206" s="26">
        <f>H7</f>
        <v>280</v>
      </c>
      <c r="K206" s="26"/>
      <c r="L206" s="26"/>
      <c r="M206" s="26">
        <f>ROUND((I206*J206/1000),3)</f>
        <v>3.36</v>
      </c>
      <c r="N206" s="26">
        <v>12</v>
      </c>
      <c r="O206" s="26">
        <f>I7</f>
        <v>280</v>
      </c>
      <c r="P206" s="26"/>
      <c r="Q206" s="26"/>
      <c r="R206" s="26">
        <f>ROUND((N206*O206/1000),3)</f>
        <v>3.36</v>
      </c>
      <c r="S206" s="26">
        <v>16</v>
      </c>
      <c r="T206" s="26">
        <f>I7</f>
        <v>280</v>
      </c>
      <c r="U206" s="26"/>
      <c r="V206" s="26"/>
      <c r="W206" s="26">
        <f>ROUND((S206*T206/1000),3)</f>
        <v>4.4800000000000004</v>
      </c>
      <c r="X206" s="26">
        <f>D206+I206+N206+S206</f>
        <v>52</v>
      </c>
      <c r="Y206" s="26"/>
      <c r="Z206" s="26">
        <f>H206+M206+R206+W206</f>
        <v>14.56</v>
      </c>
      <c r="AA206" s="60"/>
      <c r="AB206" s="15">
        <v>40</v>
      </c>
      <c r="AC206" s="15">
        <v>52</v>
      </c>
    </row>
    <row r="207" spans="1:31" ht="12" customHeight="1" x14ac:dyDescent="0.2">
      <c r="A207" s="24" t="s">
        <v>212</v>
      </c>
      <c r="B207" s="27" t="s">
        <v>331</v>
      </c>
      <c r="C207" s="190"/>
      <c r="D207" s="25"/>
      <c r="E207" s="26"/>
      <c r="F207" s="26"/>
      <c r="G207" s="26"/>
      <c r="H207" s="26"/>
      <c r="I207" s="97"/>
      <c r="J207" s="26"/>
      <c r="K207" s="26"/>
      <c r="L207" s="26"/>
      <c r="M207" s="26"/>
      <c r="N207" s="25"/>
      <c r="O207" s="26"/>
      <c r="P207" s="26"/>
      <c r="Q207" s="26"/>
      <c r="R207" s="26"/>
      <c r="S207" s="25"/>
      <c r="T207" s="26"/>
      <c r="U207" s="26"/>
      <c r="V207" s="26"/>
      <c r="W207" s="26"/>
      <c r="X207" s="26"/>
      <c r="Y207" s="26"/>
      <c r="Z207" s="26"/>
      <c r="AA207" s="96"/>
    </row>
    <row r="208" spans="1:31" ht="10.5" customHeight="1" x14ac:dyDescent="0.2">
      <c r="A208" s="24"/>
      <c r="B208" s="93" t="s">
        <v>64</v>
      </c>
      <c r="C208" s="190" t="s">
        <v>67</v>
      </c>
      <c r="D208" s="25">
        <v>398</v>
      </c>
      <c r="E208" s="25">
        <f>C3</f>
        <v>32.9</v>
      </c>
      <c r="F208" s="25"/>
      <c r="G208" s="25"/>
      <c r="H208" s="26">
        <f>ROUND((D208*E208/1000),3)</f>
        <v>13.093999999999999</v>
      </c>
      <c r="I208" s="97">
        <v>329</v>
      </c>
      <c r="J208" s="26">
        <f>C3</f>
        <v>32.9</v>
      </c>
      <c r="K208" s="25"/>
      <c r="L208" s="25"/>
      <c r="M208" s="26">
        <f>ROUND((I208*J208/1000),3)</f>
        <v>10.824</v>
      </c>
      <c r="N208" s="25">
        <v>435</v>
      </c>
      <c r="O208" s="26">
        <f>D3</f>
        <v>37.200000000000003</v>
      </c>
      <c r="P208" s="25"/>
      <c r="Q208" s="25"/>
      <c r="R208" s="26">
        <f>ROUND((N208*O208/1000),3)</f>
        <v>16.181999999999999</v>
      </c>
      <c r="S208" s="25">
        <v>420</v>
      </c>
      <c r="T208" s="26">
        <f>D3</f>
        <v>37.200000000000003</v>
      </c>
      <c r="U208" s="25"/>
      <c r="V208" s="25"/>
      <c r="W208" s="26">
        <f>ROUND((S208*T208/1000),3)</f>
        <v>15.624000000000001</v>
      </c>
      <c r="X208" s="26">
        <f>D208+I208+N208+S208</f>
        <v>1582</v>
      </c>
      <c r="Y208" s="26"/>
      <c r="Z208" s="26">
        <f>H208+M208+R208+W208</f>
        <v>55.723999999999997</v>
      </c>
      <c r="AA208" s="96"/>
      <c r="AB208" s="15">
        <v>1665</v>
      </c>
      <c r="AC208" s="16">
        <v>1582</v>
      </c>
      <c r="AD208" s="15" t="s">
        <v>259</v>
      </c>
    </row>
    <row r="209" spans="1:29" ht="13.5" customHeight="1" x14ac:dyDescent="0.2">
      <c r="A209" s="24"/>
      <c r="B209" s="140" t="s">
        <v>92</v>
      </c>
      <c r="C209" s="190" t="s">
        <v>254</v>
      </c>
      <c r="D209" s="25">
        <v>280</v>
      </c>
      <c r="E209" s="26">
        <f>H7</f>
        <v>280</v>
      </c>
      <c r="F209" s="26"/>
      <c r="G209" s="26"/>
      <c r="H209" s="26">
        <f>ROUND((D209*E209/1000),3)</f>
        <v>78.400000000000006</v>
      </c>
      <c r="I209" s="95">
        <v>280</v>
      </c>
      <c r="J209" s="26">
        <f>H7</f>
        <v>280</v>
      </c>
      <c r="K209" s="26"/>
      <c r="L209" s="26"/>
      <c r="M209" s="26">
        <f>ROUND((I209*J209/1000),3)</f>
        <v>78.400000000000006</v>
      </c>
      <c r="N209" s="26">
        <v>320</v>
      </c>
      <c r="O209" s="26">
        <f>I7</f>
        <v>280</v>
      </c>
      <c r="P209" s="26"/>
      <c r="Q209" s="26"/>
      <c r="R209" s="26">
        <f>ROUND((N209*O209/1000),3)</f>
        <v>89.6</v>
      </c>
      <c r="S209" s="26">
        <v>220</v>
      </c>
      <c r="T209" s="26">
        <f>I7</f>
        <v>280</v>
      </c>
      <c r="U209" s="26"/>
      <c r="V209" s="26"/>
      <c r="W209" s="26">
        <f>ROUND((S209*T209/1000),3)</f>
        <v>61.6</v>
      </c>
      <c r="X209" s="26">
        <f>D209+I209+N209+S209</f>
        <v>1100</v>
      </c>
      <c r="Y209" s="26"/>
      <c r="Z209" s="26">
        <f>H209+M209+R209+W209</f>
        <v>308</v>
      </c>
      <c r="AA209" s="60"/>
      <c r="AB209" s="15">
        <v>1008</v>
      </c>
      <c r="AC209" s="15">
        <v>1100</v>
      </c>
    </row>
    <row r="210" spans="1:29" ht="12" customHeight="1" x14ac:dyDescent="0.2">
      <c r="A210" s="24" t="s">
        <v>213</v>
      </c>
      <c r="B210" s="27" t="s">
        <v>332</v>
      </c>
      <c r="C210" s="190"/>
      <c r="D210" s="25"/>
      <c r="E210" s="25"/>
      <c r="F210" s="25"/>
      <c r="G210" s="25"/>
      <c r="H210" s="26"/>
      <c r="I210" s="97"/>
      <c r="J210" s="26"/>
      <c r="K210" s="25"/>
      <c r="L210" s="25"/>
      <c r="M210" s="26"/>
      <c r="N210" s="25"/>
      <c r="O210" s="26"/>
      <c r="P210" s="25"/>
      <c r="Q210" s="25"/>
      <c r="R210" s="26"/>
      <c r="S210" s="25"/>
      <c r="T210" s="26"/>
      <c r="U210" s="25"/>
      <c r="V210" s="25"/>
      <c r="W210" s="26"/>
      <c r="X210" s="26"/>
      <c r="Y210" s="26"/>
      <c r="Z210" s="26"/>
      <c r="AA210" s="96"/>
    </row>
    <row r="211" spans="1:29" ht="12.75" customHeight="1" x14ac:dyDescent="0.2">
      <c r="A211" s="24"/>
      <c r="B211" s="93" t="s">
        <v>64</v>
      </c>
      <c r="C211" s="190" t="s">
        <v>67</v>
      </c>
      <c r="D211" s="25">
        <v>128</v>
      </c>
      <c r="E211" s="25">
        <f>C3</f>
        <v>32.9</v>
      </c>
      <c r="F211" s="25"/>
      <c r="G211" s="25"/>
      <c r="H211" s="26">
        <f>ROUND((D211*E211/1000),3)</f>
        <v>4.2110000000000003</v>
      </c>
      <c r="I211" s="97">
        <v>129</v>
      </c>
      <c r="J211" s="26">
        <f>C3</f>
        <v>32.9</v>
      </c>
      <c r="K211" s="25"/>
      <c r="L211" s="25"/>
      <c r="M211" s="26">
        <f>ROUND((I211*J211/1000),3)</f>
        <v>4.2439999999999998</v>
      </c>
      <c r="N211" s="25">
        <v>91</v>
      </c>
      <c r="O211" s="26">
        <f>D3</f>
        <v>37.200000000000003</v>
      </c>
      <c r="P211" s="25"/>
      <c r="Q211" s="25"/>
      <c r="R211" s="26">
        <f>ROUND((N211*O211/1000),3)</f>
        <v>3.3849999999999998</v>
      </c>
      <c r="S211" s="25">
        <v>112</v>
      </c>
      <c r="T211" s="26">
        <f>D3</f>
        <v>37.200000000000003</v>
      </c>
      <c r="U211" s="25"/>
      <c r="V211" s="25"/>
      <c r="W211" s="26">
        <f>ROUND((S211*T211/1000),3)</f>
        <v>4.1660000000000004</v>
      </c>
      <c r="X211" s="26">
        <f>D211+I211+N211+S211</f>
        <v>460</v>
      </c>
      <c r="Y211" s="26"/>
      <c r="Z211" s="26">
        <f>H211+M211+R211+W211</f>
        <v>16.006</v>
      </c>
      <c r="AA211" s="96"/>
      <c r="AB211" s="15">
        <v>331</v>
      </c>
      <c r="AC211" s="15">
        <v>412</v>
      </c>
    </row>
    <row r="212" spans="1:29" ht="12.75" customHeight="1" x14ac:dyDescent="0.2">
      <c r="A212" s="24"/>
      <c r="B212" s="140" t="s">
        <v>92</v>
      </c>
      <c r="C212" s="190" t="s">
        <v>254</v>
      </c>
      <c r="D212" s="25">
        <v>75</v>
      </c>
      <c r="E212" s="26">
        <f>H7</f>
        <v>280</v>
      </c>
      <c r="F212" s="26"/>
      <c r="G212" s="26"/>
      <c r="H212" s="26">
        <f>ROUND((D212*E212/1000),3)</f>
        <v>21</v>
      </c>
      <c r="I212" s="95">
        <v>75</v>
      </c>
      <c r="J212" s="26">
        <f>H7</f>
        <v>280</v>
      </c>
      <c r="K212" s="26"/>
      <c r="L212" s="26"/>
      <c r="M212" s="26">
        <f>ROUND((I212*J212/1000),3)</f>
        <v>21</v>
      </c>
      <c r="N212" s="26">
        <v>75</v>
      </c>
      <c r="O212" s="26">
        <f>I7</f>
        <v>280</v>
      </c>
      <c r="P212" s="26"/>
      <c r="Q212" s="26"/>
      <c r="R212" s="26">
        <f>ROUND((N212*O212/1000),3)</f>
        <v>21</v>
      </c>
      <c r="S212" s="26">
        <v>75</v>
      </c>
      <c r="T212" s="26">
        <f>I7</f>
        <v>280</v>
      </c>
      <c r="U212" s="26"/>
      <c r="V212" s="26"/>
      <c r="W212" s="26">
        <f>ROUND((S212*T212/1000),3)</f>
        <v>21</v>
      </c>
      <c r="X212" s="26">
        <f>D212+I212+N212+S212</f>
        <v>300</v>
      </c>
      <c r="Y212" s="26"/>
      <c r="Z212" s="26">
        <f>H212+M212+R212+W212</f>
        <v>84</v>
      </c>
      <c r="AA212" s="96"/>
      <c r="AB212" s="15">
        <v>200</v>
      </c>
      <c r="AC212" s="15">
        <v>300</v>
      </c>
    </row>
    <row r="213" spans="1:29" ht="12" customHeight="1" x14ac:dyDescent="0.2">
      <c r="A213" s="24" t="s">
        <v>214</v>
      </c>
      <c r="B213" s="142" t="s">
        <v>333</v>
      </c>
      <c r="C213" s="190"/>
      <c r="D213" s="25"/>
      <c r="E213" s="25"/>
      <c r="F213" s="25"/>
      <c r="G213" s="25"/>
      <c r="H213" s="26"/>
      <c r="I213" s="95"/>
      <c r="J213" s="26"/>
      <c r="K213" s="25"/>
      <c r="L213" s="25"/>
      <c r="M213" s="26"/>
      <c r="N213" s="26"/>
      <c r="O213" s="26"/>
      <c r="P213" s="25"/>
      <c r="Q213" s="25"/>
      <c r="R213" s="26"/>
      <c r="S213" s="26"/>
      <c r="T213" s="26"/>
      <c r="U213" s="25"/>
      <c r="V213" s="25"/>
      <c r="W213" s="26"/>
      <c r="X213" s="26"/>
      <c r="Y213" s="26"/>
      <c r="Z213" s="26"/>
      <c r="AA213" s="96"/>
    </row>
    <row r="214" spans="1:29" ht="12" customHeight="1" x14ac:dyDescent="0.2">
      <c r="A214" s="24"/>
      <c r="B214" s="93" t="s">
        <v>64</v>
      </c>
      <c r="C214" s="190" t="s">
        <v>41</v>
      </c>
      <c r="D214" s="25">
        <v>22</v>
      </c>
      <c r="E214" s="25">
        <f>C2</f>
        <v>43.81</v>
      </c>
      <c r="F214" s="25"/>
      <c r="G214" s="25"/>
      <c r="H214" s="26">
        <f>ROUND((D214*E214/1000),3)</f>
        <v>0.96399999999999997</v>
      </c>
      <c r="I214" s="95">
        <v>29</v>
      </c>
      <c r="J214" s="26">
        <f>C2</f>
        <v>43.81</v>
      </c>
      <c r="K214" s="25"/>
      <c r="L214" s="25"/>
      <c r="M214" s="26">
        <f>ROUND((I214*J214/1000),3)</f>
        <v>1.27</v>
      </c>
      <c r="N214" s="26">
        <v>20</v>
      </c>
      <c r="O214" s="26">
        <f>D2</f>
        <v>51.02</v>
      </c>
      <c r="P214" s="25"/>
      <c r="Q214" s="25"/>
      <c r="R214" s="26">
        <f>ROUND((N214*O214/1000),3)</f>
        <v>1.02</v>
      </c>
      <c r="S214" s="26">
        <v>45</v>
      </c>
      <c r="T214" s="26">
        <f>D2</f>
        <v>51.02</v>
      </c>
      <c r="U214" s="25"/>
      <c r="V214" s="25"/>
      <c r="W214" s="26">
        <f>ROUND((S214*T214/1000),3)</f>
        <v>2.2959999999999998</v>
      </c>
      <c r="X214" s="26">
        <f>D214+I214+N214+S214</f>
        <v>116</v>
      </c>
      <c r="Y214" s="26"/>
      <c r="Z214" s="26">
        <f>H214+M214+R214+W214</f>
        <v>5.55</v>
      </c>
      <c r="AA214" s="96"/>
      <c r="AB214" s="15">
        <v>126</v>
      </c>
      <c r="AC214" s="15">
        <v>105</v>
      </c>
    </row>
    <row r="215" spans="1:29" ht="12" customHeight="1" x14ac:dyDescent="0.2">
      <c r="A215" s="24" t="s">
        <v>215</v>
      </c>
      <c r="B215" s="142" t="s">
        <v>334</v>
      </c>
      <c r="C215" s="190" t="s">
        <v>42</v>
      </c>
      <c r="D215" s="25"/>
      <c r="E215" s="25"/>
      <c r="F215" s="25"/>
      <c r="G215" s="25"/>
      <c r="H215" s="26"/>
      <c r="I215" s="95"/>
      <c r="J215" s="26"/>
      <c r="K215" s="25"/>
      <c r="L215" s="25"/>
      <c r="M215" s="26"/>
      <c r="N215" s="26"/>
      <c r="O215" s="26"/>
      <c r="P215" s="25"/>
      <c r="Q215" s="25"/>
      <c r="R215" s="26"/>
      <c r="S215" s="26"/>
      <c r="T215" s="26"/>
      <c r="U215" s="25"/>
      <c r="V215" s="25"/>
      <c r="W215" s="26"/>
      <c r="X215" s="26"/>
      <c r="Y215" s="26"/>
      <c r="Z215" s="26"/>
      <c r="AA215" s="96"/>
    </row>
    <row r="216" spans="1:29" ht="12" customHeight="1" x14ac:dyDescent="0.2">
      <c r="A216" s="24"/>
      <c r="B216" s="93" t="s">
        <v>64</v>
      </c>
      <c r="C216" s="190" t="s">
        <v>53</v>
      </c>
      <c r="D216" s="25">
        <v>182</v>
      </c>
      <c r="E216" s="26">
        <f>C4</f>
        <v>44.28</v>
      </c>
      <c r="F216" s="26"/>
      <c r="G216" s="26"/>
      <c r="H216" s="26">
        <f>ROUND((D216*E216/1000),3)</f>
        <v>8.0589999999999993</v>
      </c>
      <c r="I216" s="97">
        <v>132</v>
      </c>
      <c r="J216" s="26">
        <f>C4</f>
        <v>44.28</v>
      </c>
      <c r="K216" s="26"/>
      <c r="L216" s="26"/>
      <c r="M216" s="26">
        <f>ROUND((I216*J216/1000),3)</f>
        <v>5.8449999999999998</v>
      </c>
      <c r="N216" s="25">
        <v>124</v>
      </c>
      <c r="O216" s="26">
        <f>D4</f>
        <v>44.74</v>
      </c>
      <c r="P216" s="26"/>
      <c r="Q216" s="26"/>
      <c r="R216" s="26">
        <f>ROUND((N216*O216/1000),3)</f>
        <v>5.548</v>
      </c>
      <c r="S216" s="25">
        <v>189</v>
      </c>
      <c r="T216" s="26">
        <f>D4</f>
        <v>44.74</v>
      </c>
      <c r="U216" s="26"/>
      <c r="V216" s="26"/>
      <c r="W216" s="26">
        <f>ROUND((S216*T216/1000),3)</f>
        <v>8.4559999999999995</v>
      </c>
      <c r="X216" s="26">
        <f>D216+I216+N216+S216</f>
        <v>627</v>
      </c>
      <c r="Y216" s="26"/>
      <c r="Z216" s="26">
        <f>H216+M216+R216+W216</f>
        <v>27.907999999999998</v>
      </c>
      <c r="AA216" s="96"/>
      <c r="AB216" s="15">
        <v>677</v>
      </c>
      <c r="AC216" s="16">
        <v>582</v>
      </c>
    </row>
    <row r="217" spans="1:29" ht="12.75" customHeight="1" x14ac:dyDescent="0.2">
      <c r="A217" s="24"/>
      <c r="B217" s="140" t="s">
        <v>92</v>
      </c>
      <c r="C217" s="190" t="s">
        <v>53</v>
      </c>
      <c r="D217" s="25">
        <v>120</v>
      </c>
      <c r="E217" s="26">
        <f>M7</f>
        <v>393.56</v>
      </c>
      <c r="F217" s="26"/>
      <c r="G217" s="26"/>
      <c r="H217" s="26">
        <f>ROUND((D217*E217/1000),2)</f>
        <v>47.23</v>
      </c>
      <c r="I217" s="95">
        <v>42</v>
      </c>
      <c r="J217" s="26">
        <f>M7</f>
        <v>393.56</v>
      </c>
      <c r="K217" s="26"/>
      <c r="L217" s="26"/>
      <c r="M217" s="26">
        <f>ROUND((I217*J217/1000),2)</f>
        <v>16.53</v>
      </c>
      <c r="N217" s="26">
        <v>42</v>
      </c>
      <c r="O217" s="26">
        <f>N7</f>
        <v>452.59</v>
      </c>
      <c r="P217" s="26"/>
      <c r="Q217" s="26"/>
      <c r="R217" s="26">
        <f>ROUND((N217*O217/1000),2)</f>
        <v>19.010000000000002</v>
      </c>
      <c r="S217" s="26">
        <v>78</v>
      </c>
      <c r="T217" s="26">
        <f>N7</f>
        <v>452.59</v>
      </c>
      <c r="U217" s="26"/>
      <c r="V217" s="26"/>
      <c r="W217" s="26">
        <f>ROUND((S217*T217/1000),2)</f>
        <v>35.299999999999997</v>
      </c>
      <c r="X217" s="26">
        <f>D217+I217+N217+S217</f>
        <v>282</v>
      </c>
      <c r="Y217" s="26"/>
      <c r="Z217" s="26">
        <f>H217+M217+R217+W217</f>
        <v>118.07</v>
      </c>
      <c r="AA217" s="96"/>
      <c r="AB217" s="15">
        <v>270</v>
      </c>
      <c r="AC217" s="15">
        <v>282</v>
      </c>
    </row>
    <row r="218" spans="1:29" ht="12" customHeight="1" x14ac:dyDescent="0.2">
      <c r="A218" s="24" t="s">
        <v>216</v>
      </c>
      <c r="B218" s="142" t="s">
        <v>335</v>
      </c>
      <c r="C218" s="190"/>
      <c r="D218" s="25"/>
      <c r="E218" s="25"/>
      <c r="F218" s="25"/>
      <c r="G218" s="25"/>
      <c r="H218" s="26"/>
      <c r="I218" s="95"/>
      <c r="J218" s="26"/>
      <c r="K218" s="25"/>
      <c r="L218" s="25"/>
      <c r="M218" s="26"/>
      <c r="N218" s="26"/>
      <c r="O218" s="26"/>
      <c r="P218" s="25"/>
      <c r="Q218" s="25"/>
      <c r="R218" s="26"/>
      <c r="S218" s="26"/>
      <c r="T218" s="26"/>
      <c r="U218" s="25"/>
      <c r="V218" s="25"/>
      <c r="W218" s="26"/>
      <c r="X218" s="26"/>
      <c r="Y218" s="26"/>
      <c r="Z218" s="26"/>
      <c r="AA218" s="96"/>
    </row>
    <row r="219" spans="1:29" ht="11.25" customHeight="1" x14ac:dyDescent="0.2">
      <c r="A219" s="24"/>
      <c r="B219" s="93" t="s">
        <v>64</v>
      </c>
      <c r="C219" s="190" t="s">
        <v>53</v>
      </c>
      <c r="D219" s="25">
        <v>353</v>
      </c>
      <c r="E219" s="26">
        <f>C4</f>
        <v>44.28</v>
      </c>
      <c r="F219" s="26"/>
      <c r="G219" s="26"/>
      <c r="H219" s="26">
        <f>ROUND((D219*E219/1000),3)</f>
        <v>15.631</v>
      </c>
      <c r="I219" s="97">
        <v>270</v>
      </c>
      <c r="J219" s="26">
        <f>C4</f>
        <v>44.28</v>
      </c>
      <c r="K219" s="26"/>
      <c r="L219" s="26"/>
      <c r="M219" s="26">
        <f>ROUND((I219*J219/1000),3)</f>
        <v>11.956</v>
      </c>
      <c r="N219" s="25">
        <v>306</v>
      </c>
      <c r="O219" s="26">
        <f>D4</f>
        <v>44.74</v>
      </c>
      <c r="P219" s="26"/>
      <c r="Q219" s="26"/>
      <c r="R219" s="26">
        <f>ROUND((N219*O219/1000),3)</f>
        <v>13.69</v>
      </c>
      <c r="S219" s="25">
        <v>672</v>
      </c>
      <c r="T219" s="26">
        <f>D4</f>
        <v>44.74</v>
      </c>
      <c r="U219" s="26"/>
      <c r="V219" s="26"/>
      <c r="W219" s="26">
        <f>ROUND((S219*T219/1000),3)</f>
        <v>30.065000000000001</v>
      </c>
      <c r="X219" s="26">
        <f>D219+I219+N219+S219</f>
        <v>1601</v>
      </c>
      <c r="Y219" s="26"/>
      <c r="Z219" s="26">
        <f>H219+M219+R219+W219</f>
        <v>71.341999999999999</v>
      </c>
      <c r="AA219" s="96"/>
      <c r="AB219" s="15">
        <v>776</v>
      </c>
      <c r="AC219" s="15">
        <v>1081</v>
      </c>
    </row>
    <row r="220" spans="1:29" ht="11.25" customHeight="1" x14ac:dyDescent="0.2">
      <c r="A220" s="24"/>
      <c r="B220" s="140" t="s">
        <v>92</v>
      </c>
      <c r="C220" s="190" t="s">
        <v>53</v>
      </c>
      <c r="D220" s="25">
        <v>353</v>
      </c>
      <c r="E220" s="26">
        <f>M7</f>
        <v>393.56</v>
      </c>
      <c r="F220" s="26"/>
      <c r="G220" s="26"/>
      <c r="H220" s="26">
        <f>ROUND((D220*E220/1000),3)</f>
        <v>138.92699999999999</v>
      </c>
      <c r="I220" s="97">
        <v>270</v>
      </c>
      <c r="J220" s="26">
        <f>M7</f>
        <v>393.56</v>
      </c>
      <c r="K220" s="26"/>
      <c r="L220" s="26"/>
      <c r="M220" s="26">
        <f>ROUND((I220*J220/1000),3)</f>
        <v>106.261</v>
      </c>
      <c r="N220" s="25">
        <v>306</v>
      </c>
      <c r="O220" s="26">
        <f>N7</f>
        <v>452.59</v>
      </c>
      <c r="P220" s="26"/>
      <c r="Q220" s="26"/>
      <c r="R220" s="26">
        <f>ROUND((N220*O220/1000),3)</f>
        <v>138.49299999999999</v>
      </c>
      <c r="S220" s="25">
        <v>672</v>
      </c>
      <c r="T220" s="26">
        <f>N7</f>
        <v>452.59</v>
      </c>
      <c r="U220" s="26"/>
      <c r="V220" s="26"/>
      <c r="W220" s="26">
        <f>ROUND((S220*T220/1000),3)</f>
        <v>304.14</v>
      </c>
      <c r="X220" s="26">
        <f>D220+I220+N220+S220</f>
        <v>1601</v>
      </c>
      <c r="Y220" s="26"/>
      <c r="Z220" s="26">
        <f>H220+M220+R220+W220</f>
        <v>687.82099999999991</v>
      </c>
      <c r="AA220" s="96"/>
      <c r="AB220" s="15">
        <v>776</v>
      </c>
      <c r="AC220" s="15">
        <v>1081</v>
      </c>
    </row>
    <row r="221" spans="1:29" ht="12" customHeight="1" x14ac:dyDescent="0.2">
      <c r="A221" s="24" t="s">
        <v>217</v>
      </c>
      <c r="B221" s="142" t="s">
        <v>104</v>
      </c>
      <c r="C221" s="190"/>
      <c r="D221" s="25"/>
      <c r="E221" s="25"/>
      <c r="F221" s="25"/>
      <c r="G221" s="25"/>
      <c r="H221" s="26"/>
      <c r="I221" s="95"/>
      <c r="J221" s="26"/>
      <c r="K221" s="25"/>
      <c r="L221" s="25"/>
      <c r="M221" s="26"/>
      <c r="N221" s="26"/>
      <c r="O221" s="26"/>
      <c r="P221" s="25"/>
      <c r="Q221" s="25"/>
      <c r="R221" s="26"/>
      <c r="S221" s="26"/>
      <c r="T221" s="26"/>
      <c r="U221" s="25"/>
      <c r="V221" s="25"/>
      <c r="W221" s="26"/>
      <c r="X221" s="26"/>
      <c r="Y221" s="26"/>
      <c r="Z221" s="26"/>
      <c r="AA221" s="96"/>
    </row>
    <row r="222" spans="1:29" ht="12" customHeight="1" x14ac:dyDescent="0.2">
      <c r="A222" s="24"/>
      <c r="B222" s="93" t="s">
        <v>64</v>
      </c>
      <c r="C222" s="190" t="s">
        <v>38</v>
      </c>
      <c r="D222" s="25">
        <v>13</v>
      </c>
      <c r="E222" s="25">
        <f>C1</f>
        <v>42.67</v>
      </c>
      <c r="F222" s="25"/>
      <c r="G222" s="25"/>
      <c r="H222" s="26">
        <f>ROUND((D222*E222/1000),3)</f>
        <v>0.55500000000000005</v>
      </c>
      <c r="I222" s="95">
        <v>10</v>
      </c>
      <c r="J222" s="26">
        <f>C1</f>
        <v>42.67</v>
      </c>
      <c r="K222" s="25"/>
      <c r="L222" s="25"/>
      <c r="M222" s="26">
        <f>ROUND((I222*J222/1000),3)</f>
        <v>0.42699999999999999</v>
      </c>
      <c r="N222" s="26">
        <v>16</v>
      </c>
      <c r="O222" s="26">
        <f>D1</f>
        <v>44.63</v>
      </c>
      <c r="P222" s="25"/>
      <c r="Q222" s="25"/>
      <c r="R222" s="26">
        <f>ROUND((N222*O222/1000),3)</f>
        <v>0.71399999999999997</v>
      </c>
      <c r="S222" s="26">
        <v>18</v>
      </c>
      <c r="T222" s="26">
        <f>D1</f>
        <v>44.63</v>
      </c>
      <c r="U222" s="25"/>
      <c r="V222" s="25"/>
      <c r="W222" s="26">
        <f>ROUND((S222*T222/1000),3)</f>
        <v>0.80300000000000005</v>
      </c>
      <c r="X222" s="26">
        <f>D222+I222+N222+S222</f>
        <v>57</v>
      </c>
      <c r="Y222" s="26"/>
      <c r="Z222" s="26">
        <f>H222+M222+R222+W222</f>
        <v>2.4990000000000001</v>
      </c>
      <c r="AA222" s="96"/>
      <c r="AB222" s="15">
        <v>61</v>
      </c>
      <c r="AC222" s="15">
        <v>57</v>
      </c>
    </row>
    <row r="223" spans="1:29" ht="12" customHeight="1" x14ac:dyDescent="0.2">
      <c r="A223" s="24"/>
      <c r="B223" s="93" t="s">
        <v>43</v>
      </c>
      <c r="C223" s="190" t="s">
        <v>39</v>
      </c>
      <c r="D223" s="25">
        <f>D222</f>
        <v>13</v>
      </c>
      <c r="E223" s="26">
        <f>H5</f>
        <v>68.56</v>
      </c>
      <c r="F223" s="26"/>
      <c r="G223" s="26"/>
      <c r="H223" s="26">
        <f>ROUND((D223*E223/1000),3)</f>
        <v>0.89100000000000001</v>
      </c>
      <c r="I223" s="97">
        <f>I222</f>
        <v>10</v>
      </c>
      <c r="J223" s="26">
        <f>H5</f>
        <v>68.56</v>
      </c>
      <c r="K223" s="26"/>
      <c r="L223" s="26"/>
      <c r="M223" s="26">
        <f>ROUND((I223*J223/1000),3)</f>
        <v>0.68600000000000005</v>
      </c>
      <c r="N223" s="25">
        <f>N222</f>
        <v>16</v>
      </c>
      <c r="O223" s="26">
        <f>I5</f>
        <v>78.45</v>
      </c>
      <c r="P223" s="26"/>
      <c r="Q223" s="26"/>
      <c r="R223" s="26">
        <f>ROUND((N223*O223/1000),3)</f>
        <v>1.2549999999999999</v>
      </c>
      <c r="S223" s="25">
        <f>S222</f>
        <v>18</v>
      </c>
      <c r="T223" s="26">
        <f>I5</f>
        <v>78.45</v>
      </c>
      <c r="U223" s="26"/>
      <c r="V223" s="26"/>
      <c r="W223" s="26">
        <f>ROUND((S223*T223/1000),3)</f>
        <v>1.4119999999999999</v>
      </c>
      <c r="X223" s="26">
        <f>D223+I223+N223+S223</f>
        <v>57</v>
      </c>
      <c r="Y223" s="26"/>
      <c r="Z223" s="26">
        <f>H223+M223+R223+W223</f>
        <v>4.2439999999999998</v>
      </c>
      <c r="AA223" s="96"/>
      <c r="AB223" s="15">
        <v>61</v>
      </c>
      <c r="AC223" s="15">
        <v>57</v>
      </c>
    </row>
    <row r="224" spans="1:29" ht="10.5" customHeight="1" x14ac:dyDescent="0.2">
      <c r="A224" s="24" t="s">
        <v>218</v>
      </c>
      <c r="B224" s="142" t="s">
        <v>388</v>
      </c>
      <c r="C224" s="190"/>
      <c r="D224" s="25"/>
      <c r="E224" s="25"/>
      <c r="F224" s="25"/>
      <c r="G224" s="25"/>
      <c r="H224" s="26"/>
      <c r="I224" s="95"/>
      <c r="J224" s="26"/>
      <c r="K224" s="25"/>
      <c r="L224" s="25"/>
      <c r="M224" s="26"/>
      <c r="N224" s="26"/>
      <c r="O224" s="26"/>
      <c r="P224" s="25"/>
      <c r="Q224" s="25"/>
      <c r="R224" s="26"/>
      <c r="S224" s="26"/>
      <c r="T224" s="26"/>
      <c r="U224" s="25"/>
      <c r="V224" s="25"/>
      <c r="W224" s="26"/>
      <c r="X224" s="26"/>
      <c r="Y224" s="26"/>
      <c r="Z224" s="26"/>
      <c r="AA224" s="96"/>
    </row>
    <row r="225" spans="1:29" ht="12" customHeight="1" x14ac:dyDescent="0.2">
      <c r="A225" s="24"/>
      <c r="B225" s="93" t="s">
        <v>64</v>
      </c>
      <c r="C225" s="190" t="s">
        <v>67</v>
      </c>
      <c r="D225" s="26">
        <v>0</v>
      </c>
      <c r="E225" s="25">
        <f>C3</f>
        <v>32.9</v>
      </c>
      <c r="F225" s="25"/>
      <c r="G225" s="25"/>
      <c r="H225" s="26">
        <f>ROUND((D225*E225/1000),3)</f>
        <v>0</v>
      </c>
      <c r="I225" s="95">
        <v>332</v>
      </c>
      <c r="J225" s="26">
        <f>C3</f>
        <v>32.9</v>
      </c>
      <c r="K225" s="25"/>
      <c r="L225" s="25"/>
      <c r="M225" s="26">
        <f>ROUND((I225*J225/1000),3)</f>
        <v>10.923</v>
      </c>
      <c r="N225" s="26">
        <v>282</v>
      </c>
      <c r="O225" s="26">
        <f>D3</f>
        <v>37.200000000000003</v>
      </c>
      <c r="P225" s="25"/>
      <c r="Q225" s="25"/>
      <c r="R225" s="26">
        <f>ROUND((N225*O225/1000),3)</f>
        <v>10.49</v>
      </c>
      <c r="S225" s="26">
        <v>48</v>
      </c>
      <c r="T225" s="26">
        <f>D3</f>
        <v>37.200000000000003</v>
      </c>
      <c r="U225" s="25"/>
      <c r="V225" s="25"/>
      <c r="W225" s="26">
        <f>ROUND((S225*T225/1000),3)</f>
        <v>1.786</v>
      </c>
      <c r="X225" s="26">
        <f>D225+I225+N225+S225</f>
        <v>662</v>
      </c>
      <c r="Y225" s="26"/>
      <c r="Z225" s="26">
        <f>H225+M225+R225+W225</f>
        <v>23.199000000000002</v>
      </c>
      <c r="AA225" s="96"/>
      <c r="AB225" s="15">
        <v>319</v>
      </c>
      <c r="AC225" s="15">
        <v>662</v>
      </c>
    </row>
    <row r="226" spans="1:29" ht="12" customHeight="1" x14ac:dyDescent="0.2">
      <c r="A226" s="24"/>
      <c r="B226" s="140" t="s">
        <v>92</v>
      </c>
      <c r="C226" s="190" t="s">
        <v>254</v>
      </c>
      <c r="D226" s="25">
        <v>0</v>
      </c>
      <c r="E226" s="26">
        <f>H7</f>
        <v>280</v>
      </c>
      <c r="F226" s="26"/>
      <c r="G226" s="26"/>
      <c r="H226" s="26">
        <f>ROUND((D226*E226/1000),3)</f>
        <v>0</v>
      </c>
      <c r="I226" s="95">
        <v>12</v>
      </c>
      <c r="J226" s="26">
        <f>H7</f>
        <v>280</v>
      </c>
      <c r="K226" s="26"/>
      <c r="L226" s="26"/>
      <c r="M226" s="26">
        <f>ROUND((I226*J226/1000),3)</f>
        <v>3.36</v>
      </c>
      <c r="N226" s="26">
        <v>80</v>
      </c>
      <c r="O226" s="26">
        <f>I7</f>
        <v>280</v>
      </c>
      <c r="P226" s="26"/>
      <c r="Q226" s="26"/>
      <c r="R226" s="26">
        <f>ROUND((N226*O226/1000),3)</f>
        <v>22.4</v>
      </c>
      <c r="S226" s="26">
        <v>0</v>
      </c>
      <c r="T226" s="26">
        <f>I7</f>
        <v>280</v>
      </c>
      <c r="U226" s="26"/>
      <c r="V226" s="26"/>
      <c r="W226" s="26">
        <f>ROUND((S226*T226/1000),3)</f>
        <v>0</v>
      </c>
      <c r="X226" s="26">
        <f>D226+I226+N226+S226</f>
        <v>92</v>
      </c>
      <c r="Y226" s="26"/>
      <c r="Z226" s="26">
        <f>H226+M226+R226+W226</f>
        <v>25.759999999999998</v>
      </c>
      <c r="AA226" s="96"/>
      <c r="AB226" s="15">
        <v>92</v>
      </c>
      <c r="AC226" s="15">
        <v>92</v>
      </c>
    </row>
    <row r="227" spans="1:29" ht="12" customHeight="1" x14ac:dyDescent="0.2">
      <c r="A227" s="24" t="s">
        <v>219</v>
      </c>
      <c r="B227" s="142" t="s">
        <v>387</v>
      </c>
      <c r="C227" s="190"/>
      <c r="D227" s="25"/>
      <c r="E227" s="25"/>
      <c r="F227" s="25"/>
      <c r="G227" s="25"/>
      <c r="H227" s="26"/>
      <c r="I227" s="95"/>
      <c r="J227" s="26"/>
      <c r="K227" s="25"/>
      <c r="L227" s="25"/>
      <c r="M227" s="26"/>
      <c r="N227" s="26"/>
      <c r="O227" s="26"/>
      <c r="P227" s="25"/>
      <c r="Q227" s="25"/>
      <c r="R227" s="26"/>
      <c r="S227" s="26"/>
      <c r="T227" s="26"/>
      <c r="U227" s="25"/>
      <c r="V227" s="25"/>
      <c r="W227" s="26"/>
      <c r="X227" s="26"/>
      <c r="Y227" s="26"/>
      <c r="Z227" s="26"/>
      <c r="AA227" s="96"/>
    </row>
    <row r="228" spans="1:29" ht="12" customHeight="1" x14ac:dyDescent="0.2">
      <c r="A228" s="24"/>
      <c r="B228" s="93" t="s">
        <v>64</v>
      </c>
      <c r="C228" s="190" t="s">
        <v>38</v>
      </c>
      <c r="D228" s="25">
        <v>66</v>
      </c>
      <c r="E228" s="26">
        <f>C1</f>
        <v>42.67</v>
      </c>
      <c r="F228" s="26"/>
      <c r="G228" s="26"/>
      <c r="H228" s="26">
        <f>ROUND((D228*E228/1000),3)</f>
        <v>2.8159999999999998</v>
      </c>
      <c r="I228" s="95">
        <v>65</v>
      </c>
      <c r="J228" s="26">
        <f>C1</f>
        <v>42.67</v>
      </c>
      <c r="K228" s="26"/>
      <c r="L228" s="26"/>
      <c r="M228" s="26">
        <f>ROUND((I228*J228/1000),3)</f>
        <v>2.774</v>
      </c>
      <c r="N228" s="26">
        <v>70</v>
      </c>
      <c r="O228" s="26">
        <f>D1</f>
        <v>44.63</v>
      </c>
      <c r="P228" s="26"/>
      <c r="Q228" s="26"/>
      <c r="R228" s="26">
        <f>ROUND((N228*O228/1000),3)</f>
        <v>3.1240000000000001</v>
      </c>
      <c r="S228" s="26">
        <v>77</v>
      </c>
      <c r="T228" s="26">
        <f>D1</f>
        <v>44.63</v>
      </c>
      <c r="U228" s="26"/>
      <c r="V228" s="26"/>
      <c r="W228" s="26">
        <f>ROUND((S228*T228/1000),3)</f>
        <v>3.4369999999999998</v>
      </c>
      <c r="X228" s="26">
        <f>D228+I228+N228+S228</f>
        <v>278</v>
      </c>
      <c r="Y228" s="26"/>
      <c r="Z228" s="26">
        <f>H228+M228+R228+W228</f>
        <v>12.151</v>
      </c>
      <c r="AA228" s="60"/>
      <c r="AB228" s="15">
        <v>280</v>
      </c>
      <c r="AC228" s="15">
        <v>275</v>
      </c>
    </row>
    <row r="229" spans="1:29" ht="12" customHeight="1" x14ac:dyDescent="0.2">
      <c r="A229" s="24"/>
      <c r="B229" s="140" t="s">
        <v>92</v>
      </c>
      <c r="C229" s="190" t="s">
        <v>44</v>
      </c>
      <c r="D229" s="25">
        <v>18</v>
      </c>
      <c r="E229" s="26">
        <f>C8</f>
        <v>410.28</v>
      </c>
      <c r="F229" s="26"/>
      <c r="G229" s="26"/>
      <c r="H229" s="26">
        <f>ROUND((D229*E229/1000),3)</f>
        <v>7.3849999999999998</v>
      </c>
      <c r="I229" s="95">
        <v>18</v>
      </c>
      <c r="J229" s="26">
        <f>C8</f>
        <v>410.28</v>
      </c>
      <c r="K229" s="26"/>
      <c r="L229" s="26"/>
      <c r="M229" s="26">
        <f>ROUND((I229*J229/1000),3)</f>
        <v>7.3849999999999998</v>
      </c>
      <c r="N229" s="26">
        <v>18</v>
      </c>
      <c r="O229" s="26">
        <f>D8</f>
        <v>410.28</v>
      </c>
      <c r="P229" s="26"/>
      <c r="Q229" s="26"/>
      <c r="R229" s="26">
        <f>ROUND((N229*O229/1000),3)</f>
        <v>7.3849999999999998</v>
      </c>
      <c r="S229" s="26">
        <v>18</v>
      </c>
      <c r="T229" s="26">
        <f>D8</f>
        <v>410.28</v>
      </c>
      <c r="U229" s="26"/>
      <c r="V229" s="26"/>
      <c r="W229" s="26">
        <f>ROUND((S229*T229/1000),3)</f>
        <v>7.3849999999999998</v>
      </c>
      <c r="X229" s="26">
        <f>D229+I229+N229+S229</f>
        <v>72</v>
      </c>
      <c r="Y229" s="26"/>
      <c r="Z229" s="26">
        <f>H229+M229+R229+W229</f>
        <v>29.54</v>
      </c>
      <c r="AA229" s="96"/>
      <c r="AB229" s="15">
        <v>72</v>
      </c>
      <c r="AC229" s="15">
        <v>72</v>
      </c>
    </row>
    <row r="230" spans="1:29" ht="12" customHeight="1" x14ac:dyDescent="0.2">
      <c r="A230" s="24" t="s">
        <v>220</v>
      </c>
      <c r="B230" s="142" t="s">
        <v>386</v>
      </c>
      <c r="C230" s="190"/>
      <c r="D230" s="25"/>
      <c r="E230" s="26"/>
      <c r="F230" s="26"/>
      <c r="G230" s="26"/>
      <c r="H230" s="26"/>
      <c r="I230" s="95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96"/>
    </row>
    <row r="231" spans="1:29" ht="12" customHeight="1" x14ac:dyDescent="0.2">
      <c r="A231" s="24"/>
      <c r="B231" s="93" t="s">
        <v>64</v>
      </c>
      <c r="C231" s="190" t="s">
        <v>38</v>
      </c>
      <c r="D231" s="25">
        <v>17</v>
      </c>
      <c r="E231" s="26">
        <f>C1</f>
        <v>42.67</v>
      </c>
      <c r="F231" s="26"/>
      <c r="G231" s="26"/>
      <c r="H231" s="26">
        <f>ROUND((D231*E231/1000),3)</f>
        <v>0.72499999999999998</v>
      </c>
      <c r="I231" s="95">
        <v>18</v>
      </c>
      <c r="J231" s="26">
        <f>C1</f>
        <v>42.67</v>
      </c>
      <c r="K231" s="26"/>
      <c r="L231" s="26"/>
      <c r="M231" s="26">
        <f>ROUND((I231*J231/1000),3)</f>
        <v>0.76800000000000002</v>
      </c>
      <c r="N231" s="26">
        <v>48</v>
      </c>
      <c r="O231" s="26">
        <f>D1</f>
        <v>44.63</v>
      </c>
      <c r="P231" s="26"/>
      <c r="Q231" s="26"/>
      <c r="R231" s="26">
        <f>ROUND((N231*O231/1000),3)</f>
        <v>2.1419999999999999</v>
      </c>
      <c r="S231" s="26">
        <v>45</v>
      </c>
      <c r="T231" s="26">
        <f>D1</f>
        <v>44.63</v>
      </c>
      <c r="U231" s="26"/>
      <c r="V231" s="26"/>
      <c r="W231" s="26">
        <f>ROUND((S231*T231/1000),3)</f>
        <v>2.008</v>
      </c>
      <c r="X231" s="26">
        <f>D231+I231+N231+S231</f>
        <v>128</v>
      </c>
      <c r="Y231" s="26"/>
      <c r="Z231" s="26">
        <f>H231+M231+R231+W231</f>
        <v>5.6429999999999998</v>
      </c>
      <c r="AA231" s="96"/>
      <c r="AB231" s="15">
        <v>73</v>
      </c>
      <c r="AC231" s="16">
        <v>72</v>
      </c>
    </row>
    <row r="232" spans="1:29" ht="12" customHeight="1" x14ac:dyDescent="0.2">
      <c r="A232" s="24"/>
      <c r="B232" s="93" t="s">
        <v>43</v>
      </c>
      <c r="C232" s="190" t="s">
        <v>44</v>
      </c>
      <c r="D232" s="25">
        <f>D231</f>
        <v>17</v>
      </c>
      <c r="E232" s="26">
        <f>H5</f>
        <v>68.56</v>
      </c>
      <c r="F232" s="26"/>
      <c r="G232" s="26"/>
      <c r="H232" s="26">
        <f>ROUND((D232*E232/1000),3)</f>
        <v>1.1659999999999999</v>
      </c>
      <c r="I232" s="95">
        <f>I231</f>
        <v>18</v>
      </c>
      <c r="J232" s="26">
        <f>H5</f>
        <v>68.56</v>
      </c>
      <c r="K232" s="26"/>
      <c r="L232" s="26"/>
      <c r="M232" s="26">
        <f>ROUND((I232*J232/1000),3)</f>
        <v>1.234</v>
      </c>
      <c r="N232" s="26">
        <f>N231</f>
        <v>48</v>
      </c>
      <c r="O232" s="26">
        <f>I5</f>
        <v>78.45</v>
      </c>
      <c r="P232" s="26"/>
      <c r="Q232" s="26"/>
      <c r="R232" s="26">
        <f>ROUND((N232*O232/1000),3)</f>
        <v>3.766</v>
      </c>
      <c r="S232" s="26">
        <f>S231</f>
        <v>45</v>
      </c>
      <c r="T232" s="26">
        <f>I5</f>
        <v>78.45</v>
      </c>
      <c r="U232" s="26"/>
      <c r="V232" s="26"/>
      <c r="W232" s="26">
        <f>ROUND((S232*T232/1000),3)</f>
        <v>3.53</v>
      </c>
      <c r="X232" s="26">
        <f>D232+I232+N232+S232</f>
        <v>128</v>
      </c>
      <c r="Y232" s="26"/>
      <c r="Z232" s="26">
        <f>H232+M232+R232+W232</f>
        <v>9.6959999999999997</v>
      </c>
      <c r="AA232" s="96"/>
      <c r="AB232" s="15">
        <v>73</v>
      </c>
      <c r="AC232" s="15">
        <v>72</v>
      </c>
    </row>
    <row r="233" spans="1:29" ht="37.5" customHeight="1" x14ac:dyDescent="0.2">
      <c r="A233" s="24" t="s">
        <v>149</v>
      </c>
      <c r="B233" s="27" t="s">
        <v>57</v>
      </c>
      <c r="C233" s="190"/>
      <c r="D233" s="25"/>
      <c r="E233" s="26"/>
      <c r="F233" s="26"/>
      <c r="G233" s="26"/>
      <c r="H233" s="25"/>
      <c r="I233" s="97"/>
      <c r="J233" s="26"/>
      <c r="K233" s="26"/>
      <c r="L233" s="26"/>
      <c r="M233" s="25"/>
      <c r="N233" s="25"/>
      <c r="O233" s="26"/>
      <c r="P233" s="26"/>
      <c r="Q233" s="26"/>
      <c r="R233" s="25"/>
      <c r="S233" s="25"/>
      <c r="T233" s="26"/>
      <c r="U233" s="26"/>
      <c r="V233" s="26"/>
      <c r="W233" s="25"/>
      <c r="X233" s="26"/>
      <c r="Y233" s="26"/>
      <c r="Z233" s="26"/>
      <c r="AA233" s="96"/>
    </row>
    <row r="234" spans="1:29" ht="12.75" customHeight="1" x14ac:dyDescent="0.2">
      <c r="A234" s="24"/>
      <c r="B234" s="93" t="s">
        <v>64</v>
      </c>
      <c r="C234" s="190"/>
      <c r="D234" s="25">
        <f>D237+D239+D242+D244+D246</f>
        <v>242</v>
      </c>
      <c r="E234" s="25"/>
      <c r="F234" s="25"/>
      <c r="G234" s="25"/>
      <c r="H234" s="25">
        <f>ROUND((H237+H239+H242+H244+H246),3)</f>
        <v>10.092000000000001</v>
      </c>
      <c r="I234" s="97">
        <f>I237+I239+I242+I244+I246</f>
        <v>287</v>
      </c>
      <c r="J234" s="25"/>
      <c r="K234" s="25"/>
      <c r="L234" s="25"/>
      <c r="M234" s="25">
        <f>ROUND((M237+M239+M242+M244+M246),3)</f>
        <v>12.002000000000001</v>
      </c>
      <c r="N234" s="25">
        <f>N237+N239+N242+N244+N246</f>
        <v>273</v>
      </c>
      <c r="O234" s="25"/>
      <c r="P234" s="25"/>
      <c r="Q234" s="25"/>
      <c r="R234" s="25">
        <f>ROUND((R237+R239+R242+R244+R246),3)</f>
        <v>11.782999999999999</v>
      </c>
      <c r="S234" s="25">
        <f>S237+S239+S242+S244+S246</f>
        <v>255</v>
      </c>
      <c r="T234" s="25"/>
      <c r="U234" s="25"/>
      <c r="V234" s="25"/>
      <c r="W234" s="25">
        <f>ROUND((W237+W239+W242+W244+W246),3)</f>
        <v>11.032</v>
      </c>
      <c r="X234" s="26">
        <f>D234+I234+N234+S234</f>
        <v>1057</v>
      </c>
      <c r="Y234" s="26"/>
      <c r="Z234" s="26">
        <f>H234+M234+R234+W234</f>
        <v>44.909000000000006</v>
      </c>
      <c r="AA234" s="96"/>
      <c r="AB234" s="15">
        <v>844</v>
      </c>
      <c r="AC234" s="15">
        <v>985</v>
      </c>
    </row>
    <row r="235" spans="1:29" ht="12.75" customHeight="1" x14ac:dyDescent="0.2">
      <c r="A235" s="24"/>
      <c r="B235" s="93" t="s">
        <v>47</v>
      </c>
      <c r="C235" s="190"/>
      <c r="D235" s="25">
        <f>D240</f>
        <v>102</v>
      </c>
      <c r="E235" s="25"/>
      <c r="F235" s="25"/>
      <c r="G235" s="25"/>
      <c r="H235" s="25">
        <f>ROUND((H240),3)</f>
        <v>6.9930000000000003</v>
      </c>
      <c r="I235" s="97">
        <f>I240</f>
        <v>97</v>
      </c>
      <c r="J235" s="25"/>
      <c r="K235" s="25"/>
      <c r="L235" s="25"/>
      <c r="M235" s="25">
        <f>ROUND((M240),3)</f>
        <v>6.65</v>
      </c>
      <c r="N235" s="25">
        <f>N240</f>
        <v>56</v>
      </c>
      <c r="O235" s="25"/>
      <c r="P235" s="25"/>
      <c r="Q235" s="25"/>
      <c r="R235" s="25">
        <f>ROUND((R240),3)</f>
        <v>4.3929999999999998</v>
      </c>
      <c r="S235" s="25">
        <f>S240</f>
        <v>111</v>
      </c>
      <c r="T235" s="25"/>
      <c r="U235" s="25"/>
      <c r="V235" s="25"/>
      <c r="W235" s="25">
        <f>ROUND((W240),3)</f>
        <v>8.7080000000000002</v>
      </c>
      <c r="X235" s="26">
        <f>D235+I235+N235+S235</f>
        <v>366</v>
      </c>
      <c r="Y235" s="26"/>
      <c r="Z235" s="26">
        <f>H235+M235+R235+W235</f>
        <v>26.744</v>
      </c>
      <c r="AA235" s="96"/>
      <c r="AB235" s="15">
        <v>377</v>
      </c>
      <c r="AC235" s="15">
        <v>376</v>
      </c>
    </row>
    <row r="236" spans="1:29" ht="12.75" customHeight="1" x14ac:dyDescent="0.2">
      <c r="A236" s="24" t="s">
        <v>150</v>
      </c>
      <c r="B236" s="27" t="s">
        <v>381</v>
      </c>
      <c r="C236" s="190"/>
      <c r="D236" s="25"/>
      <c r="E236" s="26"/>
      <c r="F236" s="26"/>
      <c r="G236" s="26"/>
      <c r="H236" s="26"/>
      <c r="I236" s="97"/>
      <c r="J236" s="26"/>
      <c r="K236" s="26"/>
      <c r="L236" s="26"/>
      <c r="M236" s="26"/>
      <c r="N236" s="25"/>
      <c r="O236" s="26"/>
      <c r="P236" s="26"/>
      <c r="Q236" s="26"/>
      <c r="R236" s="26"/>
      <c r="S236" s="25"/>
      <c r="T236" s="26"/>
      <c r="U236" s="26"/>
      <c r="V236" s="26"/>
      <c r="W236" s="26"/>
      <c r="X236" s="26"/>
      <c r="Y236" s="26"/>
      <c r="Z236" s="26"/>
      <c r="AA236" s="96"/>
    </row>
    <row r="237" spans="1:29" ht="12.75" customHeight="1" x14ac:dyDescent="0.2">
      <c r="A237" s="24"/>
      <c r="B237" s="93" t="s">
        <v>64</v>
      </c>
      <c r="C237" s="190" t="s">
        <v>38</v>
      </c>
      <c r="D237" s="25">
        <v>65</v>
      </c>
      <c r="E237" s="26">
        <f>C1</f>
        <v>42.67</v>
      </c>
      <c r="F237" s="26"/>
      <c r="G237" s="26"/>
      <c r="H237" s="26">
        <f>ROUND((D237*E237/1000),3)</f>
        <v>2.774</v>
      </c>
      <c r="I237" s="97">
        <v>110</v>
      </c>
      <c r="J237" s="26">
        <f>C1</f>
        <v>42.67</v>
      </c>
      <c r="K237" s="26"/>
      <c r="L237" s="26"/>
      <c r="M237" s="26">
        <f>ROUND((I237*J237/1000),3)</f>
        <v>4.694</v>
      </c>
      <c r="N237" s="25">
        <v>76</v>
      </c>
      <c r="O237" s="26">
        <f>D1</f>
        <v>44.63</v>
      </c>
      <c r="P237" s="26"/>
      <c r="Q237" s="26"/>
      <c r="R237" s="26">
        <f>ROUND((N237*O237/1000),3)</f>
        <v>3.3919999999999999</v>
      </c>
      <c r="S237" s="25">
        <v>20</v>
      </c>
      <c r="T237" s="26">
        <f>D1</f>
        <v>44.63</v>
      </c>
      <c r="U237" s="26"/>
      <c r="V237" s="26"/>
      <c r="W237" s="26">
        <f>ROUND((S237*T237/1000),3)</f>
        <v>0.89300000000000002</v>
      </c>
      <c r="X237" s="26">
        <f>D237+I237+N237+S237</f>
        <v>271</v>
      </c>
      <c r="Y237" s="26"/>
      <c r="Z237" s="26">
        <f>H237+M237+R237+W237</f>
        <v>11.753</v>
      </c>
      <c r="AA237" s="96"/>
      <c r="AB237" s="15">
        <v>230</v>
      </c>
      <c r="AC237" s="16">
        <v>271</v>
      </c>
    </row>
    <row r="238" spans="1:29" ht="12.75" customHeight="1" x14ac:dyDescent="0.2">
      <c r="A238" s="24" t="s">
        <v>151</v>
      </c>
      <c r="B238" s="27" t="s">
        <v>249</v>
      </c>
      <c r="C238" s="190"/>
      <c r="D238" s="25"/>
      <c r="E238" s="26"/>
      <c r="F238" s="26"/>
      <c r="G238" s="26"/>
      <c r="H238" s="26"/>
      <c r="I238" s="97"/>
      <c r="J238" s="26"/>
      <c r="K238" s="26"/>
      <c r="L238" s="26"/>
      <c r="M238" s="26"/>
      <c r="N238" s="25"/>
      <c r="O238" s="26"/>
      <c r="P238" s="26"/>
      <c r="Q238" s="26"/>
      <c r="R238" s="26"/>
      <c r="S238" s="25"/>
      <c r="T238" s="26"/>
      <c r="U238" s="26"/>
      <c r="V238" s="26"/>
      <c r="W238" s="26"/>
      <c r="X238" s="26"/>
      <c r="Y238" s="26"/>
      <c r="Z238" s="26"/>
      <c r="AA238" s="96"/>
    </row>
    <row r="239" spans="1:29" ht="12.75" customHeight="1" x14ac:dyDescent="0.2">
      <c r="A239" s="24"/>
      <c r="B239" s="93" t="s">
        <v>64</v>
      </c>
      <c r="C239" s="190" t="s">
        <v>38</v>
      </c>
      <c r="D239" s="25">
        <v>102</v>
      </c>
      <c r="E239" s="26">
        <f>C1</f>
        <v>42.67</v>
      </c>
      <c r="F239" s="26"/>
      <c r="G239" s="26"/>
      <c r="H239" s="26">
        <f>ROUND((D239*E239/1000),3)</f>
        <v>4.3520000000000003</v>
      </c>
      <c r="I239" s="97">
        <v>97</v>
      </c>
      <c r="J239" s="26">
        <f>C1</f>
        <v>42.67</v>
      </c>
      <c r="K239" s="26"/>
      <c r="L239" s="26"/>
      <c r="M239" s="26">
        <f>ROUND((I239*J239/1000),3)</f>
        <v>4.1390000000000002</v>
      </c>
      <c r="N239" s="25">
        <v>56</v>
      </c>
      <c r="O239" s="26">
        <f>D1</f>
        <v>44.63</v>
      </c>
      <c r="P239" s="26"/>
      <c r="Q239" s="26"/>
      <c r="R239" s="26">
        <f>ROUND((N239*O239/1000),3)</f>
        <v>2.4990000000000001</v>
      </c>
      <c r="S239" s="25">
        <v>111</v>
      </c>
      <c r="T239" s="26">
        <f>D1</f>
        <v>44.63</v>
      </c>
      <c r="U239" s="26"/>
      <c r="V239" s="26"/>
      <c r="W239" s="26">
        <f>ROUND((S239*T239/1000),3)</f>
        <v>4.9539999999999997</v>
      </c>
      <c r="X239" s="26">
        <f>D239+I239+N239+S239</f>
        <v>366</v>
      </c>
      <c r="Y239" s="26"/>
      <c r="Z239" s="26">
        <f>H239+M239+R239+W239</f>
        <v>15.943999999999999</v>
      </c>
      <c r="AA239" s="96"/>
      <c r="AB239" s="15">
        <v>377</v>
      </c>
      <c r="AC239" s="15">
        <v>376</v>
      </c>
    </row>
    <row r="240" spans="1:29" ht="12.75" customHeight="1" x14ac:dyDescent="0.2">
      <c r="A240" s="24"/>
      <c r="B240" s="93" t="s">
        <v>43</v>
      </c>
      <c r="C240" s="190" t="s">
        <v>39</v>
      </c>
      <c r="D240" s="25">
        <f>D239</f>
        <v>102</v>
      </c>
      <c r="E240" s="26">
        <f>H5</f>
        <v>68.56</v>
      </c>
      <c r="F240" s="26"/>
      <c r="G240" s="26"/>
      <c r="H240" s="26">
        <f>ROUND((D240*E240/1000),3)</f>
        <v>6.9930000000000003</v>
      </c>
      <c r="I240" s="97">
        <f>I239</f>
        <v>97</v>
      </c>
      <c r="J240" s="26">
        <f>H5</f>
        <v>68.56</v>
      </c>
      <c r="K240" s="26"/>
      <c r="L240" s="26"/>
      <c r="M240" s="26">
        <f>ROUND((I240*J240/1000),3)</f>
        <v>6.65</v>
      </c>
      <c r="N240" s="25">
        <f>N239</f>
        <v>56</v>
      </c>
      <c r="O240" s="26">
        <f>I5</f>
        <v>78.45</v>
      </c>
      <c r="P240" s="26"/>
      <c r="Q240" s="26"/>
      <c r="R240" s="26">
        <f>ROUND((N240*O240/1000),3)</f>
        <v>4.3929999999999998</v>
      </c>
      <c r="S240" s="25">
        <f>S239</f>
        <v>111</v>
      </c>
      <c r="T240" s="26">
        <f>I5</f>
        <v>78.45</v>
      </c>
      <c r="U240" s="26"/>
      <c r="V240" s="26"/>
      <c r="W240" s="26">
        <f>ROUND((S240*T240/1000),3)</f>
        <v>8.7080000000000002</v>
      </c>
      <c r="X240" s="26">
        <f>D240+I240+N240+S240</f>
        <v>366</v>
      </c>
      <c r="Y240" s="26"/>
      <c r="Z240" s="26">
        <f>H240+M240+R240+W240</f>
        <v>26.744</v>
      </c>
      <c r="AA240" s="96"/>
      <c r="AB240" s="15">
        <v>377</v>
      </c>
      <c r="AC240" s="15">
        <v>376</v>
      </c>
    </row>
    <row r="241" spans="1:29" ht="14.25" customHeight="1" x14ac:dyDescent="0.2">
      <c r="A241" s="24" t="s">
        <v>152</v>
      </c>
      <c r="B241" s="27" t="s">
        <v>385</v>
      </c>
      <c r="C241" s="190"/>
      <c r="D241" s="25"/>
      <c r="E241" s="26"/>
      <c r="F241" s="26"/>
      <c r="G241" s="26"/>
      <c r="H241" s="26"/>
      <c r="I241" s="97"/>
      <c r="J241" s="26"/>
      <c r="K241" s="26"/>
      <c r="L241" s="26"/>
      <c r="M241" s="26"/>
      <c r="N241" s="25"/>
      <c r="O241" s="26"/>
      <c r="P241" s="26"/>
      <c r="Q241" s="26"/>
      <c r="R241" s="26"/>
      <c r="S241" s="25"/>
      <c r="T241" s="26"/>
      <c r="U241" s="26"/>
      <c r="V241" s="26"/>
      <c r="W241" s="26"/>
      <c r="X241" s="26"/>
      <c r="Y241" s="26"/>
      <c r="Z241" s="26"/>
      <c r="AA241" s="96"/>
    </row>
    <row r="242" spans="1:29" ht="11.25" customHeight="1" x14ac:dyDescent="0.2">
      <c r="A242" s="24"/>
      <c r="B242" s="93" t="s">
        <v>64</v>
      </c>
      <c r="C242" s="190" t="s">
        <v>67</v>
      </c>
      <c r="D242" s="25">
        <v>24</v>
      </c>
      <c r="E242" s="25">
        <f>C3</f>
        <v>32.9</v>
      </c>
      <c r="F242" s="25"/>
      <c r="G242" s="25"/>
      <c r="H242" s="26">
        <f>ROUND((D242*E242/1000),3)</f>
        <v>0.79</v>
      </c>
      <c r="I242" s="97">
        <v>25</v>
      </c>
      <c r="J242" s="26">
        <f>C3</f>
        <v>32.9</v>
      </c>
      <c r="K242" s="25"/>
      <c r="L242" s="25"/>
      <c r="M242" s="26">
        <f>ROUND((I242*J242/1000),3)</f>
        <v>0.82299999999999995</v>
      </c>
      <c r="N242" s="25">
        <v>54</v>
      </c>
      <c r="O242" s="26">
        <f>D3</f>
        <v>37.200000000000003</v>
      </c>
      <c r="P242" s="25"/>
      <c r="Q242" s="25"/>
      <c r="R242" s="26">
        <f>ROUND((N242*O242/1000),3)</f>
        <v>2.0089999999999999</v>
      </c>
      <c r="S242" s="25">
        <v>47</v>
      </c>
      <c r="T242" s="26">
        <f>D3</f>
        <v>37.200000000000003</v>
      </c>
      <c r="U242" s="25"/>
      <c r="V242" s="25"/>
      <c r="W242" s="26">
        <f>ROUND((S242*T242/1000),3)</f>
        <v>1.748</v>
      </c>
      <c r="X242" s="26">
        <f>D242+I242+N242+S242</f>
        <v>150</v>
      </c>
      <c r="Y242" s="26"/>
      <c r="Z242" s="26">
        <f>H242+M242+R242+W242</f>
        <v>5.37</v>
      </c>
      <c r="AA242" s="96"/>
      <c r="AB242" s="15">
        <v>67</v>
      </c>
      <c r="AC242" s="15">
        <v>100</v>
      </c>
    </row>
    <row r="243" spans="1:29" ht="15.75" customHeight="1" x14ac:dyDescent="0.2">
      <c r="A243" s="24" t="s">
        <v>221</v>
      </c>
      <c r="B243" s="27" t="s">
        <v>365</v>
      </c>
      <c r="C243" s="190"/>
      <c r="D243" s="25"/>
      <c r="E243" s="26"/>
      <c r="F243" s="26"/>
      <c r="G243" s="26"/>
      <c r="H243" s="26"/>
      <c r="I243" s="97"/>
      <c r="J243" s="26"/>
      <c r="K243" s="26"/>
      <c r="L243" s="26"/>
      <c r="M243" s="26"/>
      <c r="N243" s="25"/>
      <c r="O243" s="26"/>
      <c r="P243" s="26"/>
      <c r="Q243" s="26"/>
      <c r="R243" s="26"/>
      <c r="S243" s="25"/>
      <c r="T243" s="26"/>
      <c r="U243" s="26"/>
      <c r="V243" s="26"/>
      <c r="W243" s="26"/>
      <c r="X243" s="26"/>
      <c r="Y243" s="26"/>
      <c r="Z243" s="26"/>
      <c r="AA243" s="96"/>
    </row>
    <row r="244" spans="1:29" ht="12.75" customHeight="1" x14ac:dyDescent="0.2">
      <c r="A244" s="24"/>
      <c r="B244" s="93" t="s">
        <v>64</v>
      </c>
      <c r="C244" s="190" t="s">
        <v>38</v>
      </c>
      <c r="D244" s="25">
        <v>11</v>
      </c>
      <c r="E244" s="26">
        <f>C1</f>
        <v>42.67</v>
      </c>
      <c r="F244" s="26"/>
      <c r="G244" s="26"/>
      <c r="H244" s="26">
        <f>ROUND((D244*E244/1000),3)</f>
        <v>0.46899999999999997</v>
      </c>
      <c r="I244" s="97">
        <v>11</v>
      </c>
      <c r="J244" s="26">
        <f>C1</f>
        <v>42.67</v>
      </c>
      <c r="K244" s="26"/>
      <c r="L244" s="26"/>
      <c r="M244" s="26">
        <f>ROUND((I244*J244/1000),3)</f>
        <v>0.46899999999999997</v>
      </c>
      <c r="N244" s="25">
        <v>32</v>
      </c>
      <c r="O244" s="26">
        <f>D1</f>
        <v>44.63</v>
      </c>
      <c r="P244" s="26"/>
      <c r="Q244" s="26"/>
      <c r="R244" s="26">
        <f>ROUND((N244*O244/1000),3)</f>
        <v>1.4279999999999999</v>
      </c>
      <c r="S244" s="25">
        <v>31</v>
      </c>
      <c r="T244" s="26">
        <f>D1</f>
        <v>44.63</v>
      </c>
      <c r="U244" s="26"/>
      <c r="V244" s="26"/>
      <c r="W244" s="26">
        <f>ROUND((S244*T244/1000),3)</f>
        <v>1.3839999999999999</v>
      </c>
      <c r="X244" s="26">
        <f>D244+I244+N244+S244</f>
        <v>85</v>
      </c>
      <c r="Y244" s="26"/>
      <c r="Z244" s="26">
        <f>H244+M244+R244+W244</f>
        <v>3.7499999999999996</v>
      </c>
      <c r="AA244" s="96"/>
      <c r="AB244" s="15">
        <v>14</v>
      </c>
      <c r="AC244" s="15">
        <v>12</v>
      </c>
    </row>
    <row r="245" spans="1:29" ht="12.75" customHeight="1" x14ac:dyDescent="0.2">
      <c r="A245" s="24" t="s">
        <v>222</v>
      </c>
      <c r="B245" s="145" t="s">
        <v>364</v>
      </c>
      <c r="C245" s="190"/>
      <c r="D245" s="25"/>
      <c r="E245" s="26"/>
      <c r="F245" s="26"/>
      <c r="G245" s="26"/>
      <c r="H245" s="26"/>
      <c r="I245" s="97"/>
      <c r="J245" s="26"/>
      <c r="K245" s="26"/>
      <c r="L245" s="26"/>
      <c r="M245" s="26"/>
      <c r="N245" s="25"/>
      <c r="O245" s="26"/>
      <c r="P245" s="26"/>
      <c r="Q245" s="26"/>
      <c r="R245" s="26"/>
      <c r="S245" s="25"/>
      <c r="T245" s="26"/>
      <c r="U245" s="26"/>
      <c r="V245" s="26"/>
      <c r="W245" s="26"/>
      <c r="X245" s="26"/>
      <c r="Y245" s="26"/>
      <c r="Z245" s="26"/>
      <c r="AA245" s="96"/>
    </row>
    <row r="246" spans="1:29" ht="12.75" customHeight="1" x14ac:dyDescent="0.2">
      <c r="A246" s="24"/>
      <c r="B246" s="93" t="s">
        <v>64</v>
      </c>
      <c r="C246" s="190" t="s">
        <v>38</v>
      </c>
      <c r="D246" s="25">
        <v>40</v>
      </c>
      <c r="E246" s="26">
        <f>C1</f>
        <v>42.67</v>
      </c>
      <c r="F246" s="26"/>
      <c r="G246" s="26"/>
      <c r="H246" s="26">
        <f>ROUND((D246*E246/1000),3)</f>
        <v>1.7070000000000001</v>
      </c>
      <c r="I246" s="97">
        <v>44</v>
      </c>
      <c r="J246" s="26">
        <f>C1</f>
        <v>42.67</v>
      </c>
      <c r="K246" s="26"/>
      <c r="L246" s="26"/>
      <c r="M246" s="26">
        <f>ROUND((I246*J246/1000),3)</f>
        <v>1.877</v>
      </c>
      <c r="N246" s="25">
        <v>55</v>
      </c>
      <c r="O246" s="26">
        <f>D1</f>
        <v>44.63</v>
      </c>
      <c r="P246" s="26"/>
      <c r="Q246" s="26"/>
      <c r="R246" s="26">
        <f>ROUND((N246*O246/1000),3)</f>
        <v>2.4550000000000001</v>
      </c>
      <c r="S246" s="25">
        <v>46</v>
      </c>
      <c r="T246" s="26">
        <f>D1</f>
        <v>44.63</v>
      </c>
      <c r="U246" s="26"/>
      <c r="V246" s="26"/>
      <c r="W246" s="26">
        <f>ROUND((S246*T246/1000),3)</f>
        <v>2.0529999999999999</v>
      </c>
      <c r="X246" s="26">
        <f>D246+I246+N246+S246</f>
        <v>185</v>
      </c>
      <c r="Y246" s="26"/>
      <c r="Z246" s="26">
        <f>H246+M246+R246+W246</f>
        <v>8.0919999999999987</v>
      </c>
      <c r="AA246" s="96"/>
      <c r="AB246" s="15">
        <v>156</v>
      </c>
      <c r="AC246" s="16">
        <v>226</v>
      </c>
    </row>
    <row r="247" spans="1:29" ht="12.75" customHeight="1" x14ac:dyDescent="0.2">
      <c r="A247" s="24" t="s">
        <v>153</v>
      </c>
      <c r="B247" s="145" t="s">
        <v>19</v>
      </c>
      <c r="C247" s="190"/>
      <c r="D247" s="25"/>
      <c r="E247" s="26"/>
      <c r="F247" s="26"/>
      <c r="G247" s="26"/>
      <c r="H247" s="26"/>
      <c r="I247" s="25"/>
      <c r="J247" s="26"/>
      <c r="K247" s="26"/>
      <c r="L247" s="26"/>
      <c r="M247" s="26"/>
      <c r="N247" s="25"/>
      <c r="O247" s="26"/>
      <c r="P247" s="26"/>
      <c r="Q247" s="26"/>
      <c r="R247" s="26"/>
      <c r="S247" s="25"/>
      <c r="T247" s="26"/>
      <c r="U247" s="26"/>
      <c r="V247" s="26"/>
      <c r="W247" s="26"/>
      <c r="X247" s="26"/>
      <c r="Y247" s="26"/>
      <c r="Z247" s="26"/>
      <c r="AA247" s="96"/>
      <c r="AC247" s="16"/>
    </row>
    <row r="248" spans="1:29" ht="12.75" customHeight="1" x14ac:dyDescent="0.2">
      <c r="A248" s="24"/>
      <c r="B248" s="93" t="s">
        <v>64</v>
      </c>
      <c r="C248" s="190" t="s">
        <v>38</v>
      </c>
      <c r="D248" s="25">
        <v>202</v>
      </c>
      <c r="E248" s="26">
        <f>C1</f>
        <v>42.67</v>
      </c>
      <c r="F248" s="26"/>
      <c r="G248" s="26"/>
      <c r="H248" s="26">
        <f>ROUND((D248*E248/1000),3)</f>
        <v>8.6189999999999998</v>
      </c>
      <c r="I248" s="25">
        <v>222</v>
      </c>
      <c r="J248" s="26">
        <f>C1</f>
        <v>42.67</v>
      </c>
      <c r="K248" s="26"/>
      <c r="L248" s="26"/>
      <c r="M248" s="26">
        <f>ROUND((I248*J248/1000),3)</f>
        <v>9.4730000000000008</v>
      </c>
      <c r="N248" s="25">
        <v>183</v>
      </c>
      <c r="O248" s="26">
        <f>D1</f>
        <v>44.63</v>
      </c>
      <c r="P248" s="26"/>
      <c r="Q248" s="26"/>
      <c r="R248" s="26">
        <f>ROUND((N248*O248/1000),3)</f>
        <v>8.1669999999999998</v>
      </c>
      <c r="S248" s="25">
        <v>243</v>
      </c>
      <c r="T248" s="26">
        <f>D1</f>
        <v>44.63</v>
      </c>
      <c r="U248" s="26"/>
      <c r="V248" s="26"/>
      <c r="W248" s="26">
        <f>ROUND((S248*T248/1000),3)</f>
        <v>10.845000000000001</v>
      </c>
      <c r="X248" s="26">
        <f>D248+I248+N248+S248</f>
        <v>850</v>
      </c>
      <c r="Y248" s="26"/>
      <c r="Z248" s="26">
        <f>H248+M248+R248+W248</f>
        <v>37.103999999999999</v>
      </c>
      <c r="AA248" s="96"/>
      <c r="AC248" s="16"/>
    </row>
    <row r="249" spans="1:29" ht="12.75" customHeight="1" x14ac:dyDescent="0.2">
      <c r="A249" s="24"/>
      <c r="B249" s="93" t="s">
        <v>47</v>
      </c>
      <c r="C249" s="190" t="s">
        <v>39</v>
      </c>
      <c r="D249" s="25">
        <f>D248</f>
        <v>202</v>
      </c>
      <c r="E249" s="26">
        <f>H5</f>
        <v>68.56</v>
      </c>
      <c r="F249" s="26"/>
      <c r="G249" s="26"/>
      <c r="H249" s="26">
        <f>ROUND((D249*E249/1000),3)</f>
        <v>13.849</v>
      </c>
      <c r="I249" s="25">
        <f>I248</f>
        <v>222</v>
      </c>
      <c r="J249" s="26">
        <f>H5</f>
        <v>68.56</v>
      </c>
      <c r="K249" s="26"/>
      <c r="L249" s="26"/>
      <c r="M249" s="26">
        <f>ROUND((I249*J249/1000),3)</f>
        <v>15.22</v>
      </c>
      <c r="N249" s="25">
        <f>N248</f>
        <v>183</v>
      </c>
      <c r="O249" s="26">
        <f>I5</f>
        <v>78.45</v>
      </c>
      <c r="P249" s="26"/>
      <c r="Q249" s="26"/>
      <c r="R249" s="26">
        <f>ROUND((N249*O249/1000),3)</f>
        <v>14.356</v>
      </c>
      <c r="S249" s="25">
        <f>S248</f>
        <v>243</v>
      </c>
      <c r="T249" s="26">
        <f>I5</f>
        <v>78.45</v>
      </c>
      <c r="U249" s="26"/>
      <c r="V249" s="26"/>
      <c r="W249" s="26">
        <f>ROUND((S249*T249/1000),3)</f>
        <v>19.062999999999999</v>
      </c>
      <c r="X249" s="26">
        <f>D249+I249+N249+S249</f>
        <v>850</v>
      </c>
      <c r="Y249" s="26"/>
      <c r="Z249" s="26">
        <f>H249+M249+R249+W249</f>
        <v>62.488</v>
      </c>
      <c r="AA249" s="60"/>
      <c r="AC249" s="16"/>
    </row>
    <row r="250" spans="1:29" s="13" customFormat="1" ht="12.75" customHeight="1" x14ac:dyDescent="0.2">
      <c r="A250" s="24" t="s">
        <v>223</v>
      </c>
      <c r="B250" s="93" t="s">
        <v>50</v>
      </c>
      <c r="C250" s="190"/>
      <c r="D250" s="25"/>
      <c r="E250" s="26"/>
      <c r="F250" s="26"/>
      <c r="G250" s="26"/>
      <c r="H250" s="26"/>
      <c r="I250" s="25"/>
      <c r="J250" s="26"/>
      <c r="K250" s="26"/>
      <c r="L250" s="26"/>
      <c r="M250" s="26"/>
      <c r="N250" s="25"/>
      <c r="O250" s="26"/>
      <c r="P250" s="26"/>
      <c r="Q250" s="26"/>
      <c r="R250" s="26"/>
      <c r="S250" s="25"/>
      <c r="T250" s="26"/>
      <c r="U250" s="26"/>
      <c r="V250" s="26"/>
      <c r="W250" s="26"/>
      <c r="X250" s="26"/>
      <c r="Y250" s="26"/>
      <c r="Z250" s="26"/>
      <c r="AA250" s="96"/>
    </row>
    <row r="251" spans="1:29" s="13" customFormat="1" ht="12.75" customHeight="1" x14ac:dyDescent="0.2">
      <c r="A251" s="24"/>
      <c r="B251" s="93" t="s">
        <v>64</v>
      </c>
      <c r="C251" s="190"/>
      <c r="D251" s="25">
        <v>88</v>
      </c>
      <c r="E251" s="26"/>
      <c r="F251" s="26"/>
      <c r="G251" s="26"/>
      <c r="H251" s="26">
        <v>3.47</v>
      </c>
      <c r="I251" s="25">
        <v>265</v>
      </c>
      <c r="J251" s="26"/>
      <c r="K251" s="26"/>
      <c r="L251" s="26"/>
      <c r="M251" s="26">
        <v>10.43</v>
      </c>
      <c r="N251" s="25">
        <v>60</v>
      </c>
      <c r="O251" s="26"/>
      <c r="P251" s="26"/>
      <c r="Q251" s="26"/>
      <c r="R251" s="26">
        <v>2.37</v>
      </c>
      <c r="S251" s="25">
        <v>60</v>
      </c>
      <c r="T251" s="26"/>
      <c r="U251" s="26"/>
      <c r="V251" s="26"/>
      <c r="W251" s="26">
        <v>2.37</v>
      </c>
      <c r="X251" s="26">
        <f>D251+I251+N251+S251</f>
        <v>473</v>
      </c>
      <c r="Y251" s="26"/>
      <c r="Z251" s="26">
        <f>H251+M251+R251+W251</f>
        <v>18.64</v>
      </c>
      <c r="AA251" s="96"/>
      <c r="AB251" s="13">
        <v>804</v>
      </c>
      <c r="AC251" s="15">
        <v>610</v>
      </c>
    </row>
    <row r="252" spans="1:29" s="13" customFormat="1" ht="12.75" customHeight="1" x14ac:dyDescent="0.2">
      <c r="A252" s="24"/>
      <c r="B252" s="93" t="s">
        <v>47</v>
      </c>
      <c r="C252" s="190"/>
      <c r="D252" s="25">
        <v>88</v>
      </c>
      <c r="E252" s="26"/>
      <c r="F252" s="26"/>
      <c r="G252" s="26"/>
      <c r="H252" s="26">
        <v>6.05</v>
      </c>
      <c r="I252" s="25">
        <v>265</v>
      </c>
      <c r="J252" s="26"/>
      <c r="K252" s="26"/>
      <c r="L252" s="26"/>
      <c r="M252" s="26">
        <v>18.21</v>
      </c>
      <c r="N252" s="25">
        <v>60</v>
      </c>
      <c r="O252" s="26"/>
      <c r="P252" s="26"/>
      <c r="Q252" s="26"/>
      <c r="R252" s="26">
        <v>4.13</v>
      </c>
      <c r="S252" s="25">
        <v>60</v>
      </c>
      <c r="T252" s="26"/>
      <c r="U252" s="26"/>
      <c r="V252" s="26"/>
      <c r="W252" s="26">
        <v>4.13</v>
      </c>
      <c r="X252" s="26">
        <f>D252+I252+N252+S252</f>
        <v>473</v>
      </c>
      <c r="Y252" s="26"/>
      <c r="Z252" s="26">
        <f>H252+M252+R252+W252</f>
        <v>32.520000000000003</v>
      </c>
      <c r="AA252" s="60"/>
      <c r="AB252" s="13">
        <v>804</v>
      </c>
      <c r="AC252" s="16">
        <v>610</v>
      </c>
    </row>
    <row r="253" spans="1:29" s="13" customFormat="1" ht="36.75" customHeight="1" x14ac:dyDescent="0.2">
      <c r="A253" s="24" t="s">
        <v>224</v>
      </c>
      <c r="B253" s="27" t="s">
        <v>62</v>
      </c>
      <c r="C253" s="190"/>
      <c r="D253" s="26"/>
      <c r="E253" s="26"/>
      <c r="F253" s="26"/>
      <c r="G253" s="26"/>
      <c r="H253" s="26"/>
      <c r="I253" s="95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96"/>
    </row>
    <row r="254" spans="1:29" s="149" customFormat="1" ht="12.6" customHeight="1" x14ac:dyDescent="0.2">
      <c r="A254" s="146"/>
      <c r="B254" s="147" t="s">
        <v>64</v>
      </c>
      <c r="C254" s="134" t="s">
        <v>38</v>
      </c>
      <c r="D254" s="95">
        <v>37.5</v>
      </c>
      <c r="E254" s="95">
        <f>C1</f>
        <v>42.67</v>
      </c>
      <c r="F254" s="95"/>
      <c r="G254" s="95"/>
      <c r="H254" s="95">
        <f>ROUND((D254*E254/1000),3)</f>
        <v>1.6</v>
      </c>
      <c r="I254" s="95">
        <v>37.5</v>
      </c>
      <c r="J254" s="95">
        <f>C1</f>
        <v>42.67</v>
      </c>
      <c r="K254" s="95"/>
      <c r="L254" s="95"/>
      <c r="M254" s="95">
        <f>ROUND((I254*J254/1000),3)</f>
        <v>1.6</v>
      </c>
      <c r="N254" s="95">
        <v>162.5</v>
      </c>
      <c r="O254" s="95">
        <f>D1</f>
        <v>44.63</v>
      </c>
      <c r="P254" s="95"/>
      <c r="Q254" s="95"/>
      <c r="R254" s="95">
        <f>ROUND((N254*O254/1000),3)</f>
        <v>7.2519999999999998</v>
      </c>
      <c r="S254" s="95">
        <v>162.5</v>
      </c>
      <c r="T254" s="95">
        <f>D1</f>
        <v>44.63</v>
      </c>
      <c r="U254" s="95"/>
      <c r="V254" s="95"/>
      <c r="W254" s="95">
        <f>ROUND((S254*T254/1000),3)</f>
        <v>7.2519999999999998</v>
      </c>
      <c r="X254" s="95">
        <f>D254+I254+N254+S254</f>
        <v>400</v>
      </c>
      <c r="Y254" s="26"/>
      <c r="Z254" s="95">
        <f>H254+M254+R254+W254</f>
        <v>17.704000000000001</v>
      </c>
      <c r="AA254" s="148"/>
      <c r="AB254" s="149">
        <v>12</v>
      </c>
      <c r="AC254" s="149">
        <v>24</v>
      </c>
    </row>
    <row r="255" spans="1:29" s="13" customFormat="1" ht="12.6" customHeight="1" x14ac:dyDescent="0.2">
      <c r="A255" s="24"/>
      <c r="B255" s="140" t="s">
        <v>92</v>
      </c>
      <c r="C255" s="190" t="s">
        <v>44</v>
      </c>
      <c r="D255" s="25">
        <v>0.9</v>
      </c>
      <c r="E255" s="26">
        <f>C8</f>
        <v>410.28</v>
      </c>
      <c r="F255" s="26"/>
      <c r="G255" s="26"/>
      <c r="H255" s="26">
        <f>ROUND((D255*E255/1000),3)</f>
        <v>0.36899999999999999</v>
      </c>
      <c r="I255" s="95">
        <v>0.9</v>
      </c>
      <c r="J255" s="26">
        <f>C8</f>
        <v>410.28</v>
      </c>
      <c r="K255" s="26"/>
      <c r="L255" s="26"/>
      <c r="M255" s="26">
        <f>ROUND((I255*J255/1000),3)</f>
        <v>0.36899999999999999</v>
      </c>
      <c r="N255" s="26">
        <v>0.9</v>
      </c>
      <c r="O255" s="26">
        <f>D8</f>
        <v>410.28</v>
      </c>
      <c r="P255" s="26"/>
      <c r="Q255" s="26"/>
      <c r="R255" s="26">
        <f>ROUND((N255*O255/1000),3)</f>
        <v>0.36899999999999999</v>
      </c>
      <c r="S255" s="26">
        <v>0.9</v>
      </c>
      <c r="T255" s="26">
        <f>D8</f>
        <v>410.28</v>
      </c>
      <c r="U255" s="26"/>
      <c r="V255" s="26"/>
      <c r="W255" s="26">
        <f>ROUND((S255*T255/1000),3)</f>
        <v>0.36899999999999999</v>
      </c>
      <c r="X255" s="26">
        <f>D255+I255+N255+S255</f>
        <v>3.6</v>
      </c>
      <c r="Y255" s="26"/>
      <c r="Z255" s="26">
        <f>H255+M255+R255+W255</f>
        <v>1.476</v>
      </c>
      <c r="AA255" s="96"/>
      <c r="AB255" s="13">
        <v>3.6</v>
      </c>
      <c r="AC255" s="13">
        <v>3.6</v>
      </c>
    </row>
    <row r="256" spans="1:29" ht="28.5" customHeight="1" x14ac:dyDescent="0.2">
      <c r="A256" s="24" t="s">
        <v>228</v>
      </c>
      <c r="B256" s="27" t="s">
        <v>59</v>
      </c>
      <c r="C256" s="190"/>
      <c r="D256" s="26"/>
      <c r="E256" s="26"/>
      <c r="F256" s="26"/>
      <c r="G256" s="26"/>
      <c r="H256" s="26"/>
      <c r="I256" s="95"/>
      <c r="J256" s="26"/>
      <c r="K256" s="26"/>
      <c r="L256" s="26"/>
      <c r="M256" s="26"/>
      <c r="N256" s="26"/>
      <c r="O256" s="26"/>
      <c r="P256" s="26"/>
      <c r="Q256" s="26"/>
      <c r="R256" s="26"/>
      <c r="S256" s="26" t="s">
        <v>42</v>
      </c>
      <c r="T256" s="26"/>
      <c r="U256" s="26"/>
      <c r="V256" s="26"/>
      <c r="W256" s="26"/>
      <c r="X256" s="26"/>
      <c r="Y256" s="26"/>
      <c r="Z256" s="26"/>
      <c r="AA256" s="96"/>
    </row>
    <row r="257" spans="1:29" ht="12.6" customHeight="1" x14ac:dyDescent="0.2">
      <c r="A257" s="24"/>
      <c r="B257" s="93" t="s">
        <v>64</v>
      </c>
      <c r="C257" s="190"/>
      <c r="D257" s="26">
        <f>D261+D264+D268+D270</f>
        <v>5062.62</v>
      </c>
      <c r="E257" s="26"/>
      <c r="F257" s="26"/>
      <c r="G257" s="26"/>
      <c r="H257" s="26">
        <f>ROUND((H261+H264+H268+H270),3)</f>
        <v>216.16</v>
      </c>
      <c r="I257" s="95">
        <f>I261+I264+I268+I270</f>
        <v>5101.62</v>
      </c>
      <c r="J257" s="26"/>
      <c r="K257" s="26"/>
      <c r="L257" s="26"/>
      <c r="M257" s="26">
        <f>ROUND((M261+M264+M268+M270),3)</f>
        <v>217.864</v>
      </c>
      <c r="N257" s="26">
        <f>N261+N264+N268+N270</f>
        <v>5160.62</v>
      </c>
      <c r="O257" s="26"/>
      <c r="P257" s="26"/>
      <c r="Q257" s="26"/>
      <c r="R257" s="26">
        <f>ROUND((R261+R264+R268+R270),3)</f>
        <v>231.47</v>
      </c>
      <c r="S257" s="26">
        <f>S261+S264+S268+S270</f>
        <v>4506.6399999999994</v>
      </c>
      <c r="T257" s="26"/>
      <c r="U257" s="26"/>
      <c r="V257" s="26"/>
      <c r="W257" s="26">
        <f>ROUND((W261+W264+W268+W270),3)</f>
        <v>202.321</v>
      </c>
      <c r="X257" s="26">
        <f>D257+I257+N257+S257</f>
        <v>19831.5</v>
      </c>
      <c r="Y257" s="26"/>
      <c r="Z257" s="26">
        <f>H257+M257+R257+W257</f>
        <v>867.81500000000005</v>
      </c>
      <c r="AA257" s="96"/>
      <c r="AB257" s="15">
        <v>9057</v>
      </c>
      <c r="AC257" s="15">
        <v>12666.5</v>
      </c>
    </row>
    <row r="258" spans="1:29" ht="12.6" customHeight="1" x14ac:dyDescent="0.2">
      <c r="A258" s="24"/>
      <c r="B258" s="93" t="s">
        <v>47</v>
      </c>
      <c r="C258" s="190"/>
      <c r="D258" s="26">
        <f>D262+D265+D271</f>
        <v>3386</v>
      </c>
      <c r="E258" s="26"/>
      <c r="F258" s="26"/>
      <c r="G258" s="26"/>
      <c r="H258" s="26">
        <f>ROUND((H262+H265+H271),3)</f>
        <v>232.14400000000001</v>
      </c>
      <c r="I258" s="95">
        <f>I262+I265+I271</f>
        <v>3408</v>
      </c>
      <c r="J258" s="26"/>
      <c r="K258" s="26"/>
      <c r="L258" s="26"/>
      <c r="M258" s="26">
        <f>ROUND((M262+M265+M271),3)</f>
        <v>233.91399999999999</v>
      </c>
      <c r="N258" s="26">
        <f>N262+N265+N271</f>
        <v>3034</v>
      </c>
      <c r="O258" s="26"/>
      <c r="P258" s="26"/>
      <c r="Q258" s="26"/>
      <c r="R258" s="26">
        <f>ROUND((R262+R265+R271),3)</f>
        <v>308.61500000000001</v>
      </c>
      <c r="S258" s="26">
        <f>S262+S265+S271</f>
        <v>3400</v>
      </c>
      <c r="T258" s="26"/>
      <c r="U258" s="26"/>
      <c r="V258" s="26"/>
      <c r="W258" s="26">
        <f>ROUND((W262+W265+W271),3)</f>
        <v>585.69000000000005</v>
      </c>
      <c r="X258" s="26">
        <f>D258+I258+N258+S258</f>
        <v>13228</v>
      </c>
      <c r="Y258" s="26"/>
      <c r="Z258" s="26">
        <f>H258+M258+R258+W258</f>
        <v>1360.3630000000001</v>
      </c>
      <c r="AA258" s="96"/>
      <c r="AB258" s="15">
        <v>6080.4</v>
      </c>
      <c r="AC258" s="15">
        <v>9796.9</v>
      </c>
    </row>
    <row r="259" spans="1:29" ht="12.6" customHeight="1" x14ac:dyDescent="0.2">
      <c r="A259" s="24"/>
      <c r="B259" s="93" t="s">
        <v>30</v>
      </c>
      <c r="C259" s="190"/>
      <c r="D259" s="26"/>
      <c r="E259" s="26"/>
      <c r="F259" s="26">
        <f>F266+F273</f>
        <v>99.95</v>
      </c>
      <c r="G259" s="26"/>
      <c r="H259" s="26">
        <f>H266+H273</f>
        <v>469.53611450000005</v>
      </c>
      <c r="I259" s="95"/>
      <c r="J259" s="26"/>
      <c r="K259" s="26">
        <f>K266+K273</f>
        <v>99.95</v>
      </c>
      <c r="L259" s="26"/>
      <c r="M259" s="26">
        <f>M266+M273</f>
        <v>469.53611450000005</v>
      </c>
      <c r="N259" s="26"/>
      <c r="O259" s="26"/>
      <c r="P259" s="26">
        <f>P266+P273</f>
        <v>99.95</v>
      </c>
      <c r="Q259" s="26"/>
      <c r="R259" s="26">
        <f>R266+R273</f>
        <v>514.42665799999997</v>
      </c>
      <c r="S259" s="26"/>
      <c r="T259" s="26"/>
      <c r="U259" s="26">
        <f>U266+U273</f>
        <v>99.95</v>
      </c>
      <c r="V259" s="26"/>
      <c r="W259" s="26">
        <f>W266+W273</f>
        <v>514.42665799999997</v>
      </c>
      <c r="X259" s="26"/>
      <c r="Y259" s="26">
        <f t="shared" ref="Y259:Y273" si="7">F259+K259+P259+U259</f>
        <v>399.8</v>
      </c>
      <c r="Z259" s="26">
        <f>H259+M259+R259+W259</f>
        <v>1967.9255450000001</v>
      </c>
      <c r="AA259" s="96"/>
    </row>
    <row r="260" spans="1:29" ht="12.6" customHeight="1" x14ac:dyDescent="0.2">
      <c r="A260" s="24" t="s">
        <v>240</v>
      </c>
      <c r="B260" s="27" t="s">
        <v>382</v>
      </c>
      <c r="C260" s="190"/>
      <c r="D260" s="26"/>
      <c r="E260" s="26"/>
      <c r="F260" s="26"/>
      <c r="G260" s="26"/>
      <c r="H260" s="26"/>
      <c r="I260" s="95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96"/>
    </row>
    <row r="261" spans="1:29" ht="12.6" customHeight="1" x14ac:dyDescent="0.2">
      <c r="A261" s="24"/>
      <c r="B261" s="93" t="s">
        <v>64</v>
      </c>
      <c r="C261" s="190" t="s">
        <v>38</v>
      </c>
      <c r="D261" s="26">
        <v>98</v>
      </c>
      <c r="E261" s="26">
        <f>C1</f>
        <v>42.67</v>
      </c>
      <c r="F261" s="26"/>
      <c r="G261" s="26"/>
      <c r="H261" s="26">
        <f>ROUND((D261*E261/1000),3)</f>
        <v>4.1820000000000004</v>
      </c>
      <c r="I261" s="95">
        <v>385</v>
      </c>
      <c r="J261" s="26">
        <f>C1</f>
        <v>42.67</v>
      </c>
      <c r="K261" s="26"/>
      <c r="L261" s="26"/>
      <c r="M261" s="26">
        <f>ROUND((I261*J261/1000),3)</f>
        <v>16.428000000000001</v>
      </c>
      <c r="N261" s="26">
        <v>387</v>
      </c>
      <c r="O261" s="26">
        <f>D1</f>
        <v>44.63</v>
      </c>
      <c r="P261" s="26"/>
      <c r="Q261" s="26"/>
      <c r="R261" s="26">
        <f>ROUND((N261*O261/1000),3)</f>
        <v>17.271999999999998</v>
      </c>
      <c r="S261" s="26">
        <v>98</v>
      </c>
      <c r="T261" s="26">
        <f>D1</f>
        <v>44.63</v>
      </c>
      <c r="U261" s="26"/>
      <c r="V261" s="26"/>
      <c r="W261" s="26">
        <f>ROUND((S261*T261/1000),3)</f>
        <v>4.3739999999999997</v>
      </c>
      <c r="X261" s="26">
        <f>D261+I261+N261+S261</f>
        <v>968</v>
      </c>
      <c r="Y261" s="26"/>
      <c r="Z261" s="26">
        <f>H261+M261+R261+W261</f>
        <v>42.256</v>
      </c>
      <c r="AA261" s="96"/>
      <c r="AB261" s="15">
        <v>589</v>
      </c>
      <c r="AC261" s="16">
        <v>613</v>
      </c>
    </row>
    <row r="262" spans="1:29" ht="12" customHeight="1" x14ac:dyDescent="0.2">
      <c r="A262" s="24"/>
      <c r="B262" s="93" t="s">
        <v>47</v>
      </c>
      <c r="C262" s="190" t="s">
        <v>39</v>
      </c>
      <c r="D262" s="26">
        <f>D261</f>
        <v>98</v>
      </c>
      <c r="E262" s="26">
        <f>H5</f>
        <v>68.56</v>
      </c>
      <c r="F262" s="26"/>
      <c r="G262" s="26"/>
      <c r="H262" s="26">
        <f>ROUND((D262*E262/1000),3)</f>
        <v>6.7190000000000003</v>
      </c>
      <c r="I262" s="95">
        <f>I261</f>
        <v>385</v>
      </c>
      <c r="J262" s="26">
        <f>H5</f>
        <v>68.56</v>
      </c>
      <c r="K262" s="26"/>
      <c r="L262" s="26"/>
      <c r="M262" s="26">
        <f>ROUND((I262*J262/1000),3)</f>
        <v>26.396000000000001</v>
      </c>
      <c r="N262" s="26">
        <f>N261</f>
        <v>387</v>
      </c>
      <c r="O262" s="26">
        <f>I5</f>
        <v>78.45</v>
      </c>
      <c r="P262" s="26"/>
      <c r="Q262" s="26"/>
      <c r="R262" s="26">
        <f>ROUND((N262*O262/1000),3)</f>
        <v>30.36</v>
      </c>
      <c r="S262" s="26">
        <f>S261</f>
        <v>98</v>
      </c>
      <c r="T262" s="26">
        <f>I5</f>
        <v>78.45</v>
      </c>
      <c r="U262" s="26"/>
      <c r="V262" s="26"/>
      <c r="W262" s="26">
        <f>ROUND((S262*T262/1000),3)</f>
        <v>7.6879999999999997</v>
      </c>
      <c r="X262" s="26">
        <f>D262+I262+N262+S262</f>
        <v>968</v>
      </c>
      <c r="Y262" s="26"/>
      <c r="Z262" s="26">
        <f>H262+M262+R262+W262</f>
        <v>71.162999999999997</v>
      </c>
      <c r="AA262" s="96"/>
      <c r="AB262" s="15">
        <v>589</v>
      </c>
      <c r="AC262" s="16">
        <v>613</v>
      </c>
    </row>
    <row r="263" spans="1:29" ht="11.85" customHeight="1" x14ac:dyDescent="0.2">
      <c r="A263" s="24" t="s">
        <v>241</v>
      </c>
      <c r="B263" s="27" t="s">
        <v>384</v>
      </c>
      <c r="C263" s="190"/>
      <c r="D263" s="25"/>
      <c r="E263" s="26"/>
      <c r="F263" s="26"/>
      <c r="G263" s="26"/>
      <c r="H263" s="26"/>
      <c r="I263" s="97"/>
      <c r="J263" s="26"/>
      <c r="K263" s="26"/>
      <c r="L263" s="26"/>
      <c r="M263" s="26"/>
      <c r="N263" s="25"/>
      <c r="O263" s="26"/>
      <c r="P263" s="26"/>
      <c r="Q263" s="26"/>
      <c r="R263" s="26"/>
      <c r="S263" s="25"/>
      <c r="T263" s="26"/>
      <c r="U263" s="26"/>
      <c r="V263" s="26"/>
      <c r="W263" s="26"/>
      <c r="X263" s="26"/>
      <c r="Y263" s="26"/>
      <c r="Z263" s="26"/>
      <c r="AA263" s="96"/>
    </row>
    <row r="264" spans="1:29" ht="12" customHeight="1" x14ac:dyDescent="0.2">
      <c r="A264" s="24"/>
      <c r="B264" s="93" t="s">
        <v>64</v>
      </c>
      <c r="C264" s="190" t="s">
        <v>38</v>
      </c>
      <c r="D264" s="25">
        <v>2279.5</v>
      </c>
      <c r="E264" s="26">
        <f>C1</f>
        <v>42.67</v>
      </c>
      <c r="F264" s="26"/>
      <c r="G264" s="26"/>
      <c r="H264" s="26">
        <f>ROUND((D264*E264/1000),3)</f>
        <v>97.266000000000005</v>
      </c>
      <c r="I264" s="95">
        <v>1996.5</v>
      </c>
      <c r="J264" s="26">
        <f>C1</f>
        <v>42.67</v>
      </c>
      <c r="K264" s="26"/>
      <c r="L264" s="26"/>
      <c r="M264" s="26">
        <f>ROUND((I264*J264/1000),3)</f>
        <v>85.191000000000003</v>
      </c>
      <c r="N264" s="25">
        <v>2029.5</v>
      </c>
      <c r="O264" s="26">
        <f>D1</f>
        <v>44.63</v>
      </c>
      <c r="P264" s="26"/>
      <c r="Q264" s="26"/>
      <c r="R264" s="26">
        <f>ROUND((N264*O264/1000),3)</f>
        <v>90.576999999999998</v>
      </c>
      <c r="S264" s="25">
        <v>1658.5</v>
      </c>
      <c r="T264" s="26">
        <f>D1</f>
        <v>44.63</v>
      </c>
      <c r="U264" s="26"/>
      <c r="V264" s="26"/>
      <c r="W264" s="26">
        <f>ROUND((S264*T264/1000),3)</f>
        <v>74.019000000000005</v>
      </c>
      <c r="X264" s="26">
        <f>D264+I264+N264+S264</f>
        <v>7964</v>
      </c>
      <c r="Y264" s="26"/>
      <c r="Z264" s="26">
        <f>H264+M264+R264+W264</f>
        <v>347.053</v>
      </c>
      <c r="AA264" s="96"/>
      <c r="AB264" s="15">
        <v>4819</v>
      </c>
      <c r="AC264" s="15">
        <v>4819</v>
      </c>
    </row>
    <row r="265" spans="1:29" ht="12" customHeight="1" x14ac:dyDescent="0.2">
      <c r="A265" s="24"/>
      <c r="B265" s="93" t="s">
        <v>47</v>
      </c>
      <c r="C265" s="190" t="s">
        <v>39</v>
      </c>
      <c r="D265" s="25">
        <v>2010.5</v>
      </c>
      <c r="E265" s="26">
        <f>H5</f>
        <v>68.56</v>
      </c>
      <c r="F265" s="26"/>
      <c r="G265" s="26"/>
      <c r="H265" s="26">
        <f>ROUND((D265*E265/1000),3)</f>
        <v>137.84</v>
      </c>
      <c r="I265" s="95">
        <v>1745.5</v>
      </c>
      <c r="J265" s="26">
        <v>68.709999999999994</v>
      </c>
      <c r="K265" s="26"/>
      <c r="L265" s="26"/>
      <c r="M265" s="26">
        <f>ROUND((I265*J265/1000),3)</f>
        <v>119.93300000000001</v>
      </c>
      <c r="N265" s="25">
        <v>1369.5</v>
      </c>
      <c r="O265" s="26">
        <v>130</v>
      </c>
      <c r="P265" s="26"/>
      <c r="Q265" s="26"/>
      <c r="R265" s="26">
        <f>ROUND((N265*O265/1000),3)</f>
        <v>178.035</v>
      </c>
      <c r="S265" s="25">
        <v>2024.5</v>
      </c>
      <c r="T265" s="26">
        <v>236</v>
      </c>
      <c r="U265" s="26"/>
      <c r="V265" s="26"/>
      <c r="W265" s="26">
        <f>ROUND((S265*T265/1000),3)</f>
        <v>477.78199999999998</v>
      </c>
      <c r="X265" s="26">
        <f>D265+I265+N265+S265</f>
        <v>7150</v>
      </c>
      <c r="Y265" s="26"/>
      <c r="Z265" s="26">
        <f>H265+M265+R265+W265</f>
        <v>913.58999999999992</v>
      </c>
      <c r="AA265" s="96"/>
      <c r="AB265" s="15">
        <v>2265.4</v>
      </c>
      <c r="AC265" s="15">
        <v>2265.4</v>
      </c>
    </row>
    <row r="266" spans="1:29" ht="12.6" customHeight="1" x14ac:dyDescent="0.2">
      <c r="A266" s="24"/>
      <c r="B266" s="93" t="s">
        <v>30</v>
      </c>
      <c r="C266" s="190"/>
      <c r="D266" s="26"/>
      <c r="E266" s="26"/>
      <c r="F266" s="26">
        <v>24.95</v>
      </c>
      <c r="G266" s="224">
        <v>4697.71</v>
      </c>
      <c r="H266" s="26">
        <f>((F266*G266)/1000)</f>
        <v>117.2078645</v>
      </c>
      <c r="I266" s="95"/>
      <c r="J266" s="26"/>
      <c r="K266" s="26">
        <v>24.95</v>
      </c>
      <c r="L266" s="224">
        <v>4697.71</v>
      </c>
      <c r="M266" s="26">
        <f>((K266*L266)/1000)</f>
        <v>117.2078645</v>
      </c>
      <c r="N266" s="26"/>
      <c r="O266" s="26"/>
      <c r="P266" s="26">
        <v>24.95</v>
      </c>
      <c r="Q266" s="26">
        <v>5146.84</v>
      </c>
      <c r="R266" s="26">
        <f>((P266*Q266)/1000)</f>
        <v>128.413658</v>
      </c>
      <c r="S266" s="26"/>
      <c r="T266" s="26"/>
      <c r="U266" s="26">
        <v>24.95</v>
      </c>
      <c r="V266" s="26">
        <v>5146.84</v>
      </c>
      <c r="W266" s="26">
        <f>((U266*V266)/1000)</f>
        <v>128.413658</v>
      </c>
      <c r="X266" s="26"/>
      <c r="Y266" s="26">
        <f t="shared" si="7"/>
        <v>99.8</v>
      </c>
      <c r="Z266" s="26"/>
      <c r="AA266" s="96"/>
    </row>
    <row r="267" spans="1:29" ht="13.5" customHeight="1" x14ac:dyDescent="0.2">
      <c r="A267" s="24" t="s">
        <v>242</v>
      </c>
      <c r="B267" s="27" t="s">
        <v>303</v>
      </c>
      <c r="C267" s="190"/>
      <c r="D267" s="26"/>
      <c r="E267" s="26"/>
      <c r="F267" s="26"/>
      <c r="G267" s="26"/>
      <c r="H267" s="26"/>
      <c r="I267" s="95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96"/>
    </row>
    <row r="268" spans="1:29" ht="12.6" customHeight="1" x14ac:dyDescent="0.2">
      <c r="A268" s="24"/>
      <c r="B268" s="93" t="s">
        <v>64</v>
      </c>
      <c r="C268" s="190" t="s">
        <v>46</v>
      </c>
      <c r="D268" s="26">
        <v>121</v>
      </c>
      <c r="E268" s="26">
        <f>C2</f>
        <v>43.81</v>
      </c>
      <c r="F268" s="26"/>
      <c r="G268" s="26"/>
      <c r="H268" s="26">
        <f>ROUND((D268*E268/1000),3)</f>
        <v>5.3010000000000002</v>
      </c>
      <c r="I268" s="95">
        <v>156</v>
      </c>
      <c r="J268" s="26">
        <f>C2</f>
        <v>43.81</v>
      </c>
      <c r="K268" s="26"/>
      <c r="L268" s="26"/>
      <c r="M268" s="26">
        <f>ROUND((I268*J268/1000),3)</f>
        <v>6.8339999999999996</v>
      </c>
      <c r="N268" s="26">
        <v>180</v>
      </c>
      <c r="O268" s="26">
        <f>D2</f>
        <v>51.02</v>
      </c>
      <c r="P268" s="26"/>
      <c r="Q268" s="26"/>
      <c r="R268" s="26">
        <f>ROUND((N268*O268/1000),3)</f>
        <v>9.1839999999999993</v>
      </c>
      <c r="S268" s="26">
        <v>186</v>
      </c>
      <c r="T268" s="26">
        <f>D2</f>
        <v>51.02</v>
      </c>
      <c r="U268" s="26"/>
      <c r="V268" s="26"/>
      <c r="W268" s="26">
        <f>ROUND((S268*T268/1000),3)</f>
        <v>9.49</v>
      </c>
      <c r="X268" s="26">
        <f>D268+I268+N268+S268</f>
        <v>643</v>
      </c>
      <c r="Y268" s="26"/>
      <c r="Z268" s="26">
        <f>H268+M268+R268+W268</f>
        <v>30.808999999999997</v>
      </c>
      <c r="AA268" s="96"/>
      <c r="AB268" s="15">
        <v>423</v>
      </c>
      <c r="AC268" s="16">
        <v>316</v>
      </c>
    </row>
    <row r="269" spans="1:29" ht="12.75" customHeight="1" x14ac:dyDescent="0.2">
      <c r="A269" s="24" t="s">
        <v>243</v>
      </c>
      <c r="B269" s="27" t="s">
        <v>337</v>
      </c>
      <c r="C269" s="190"/>
      <c r="D269" s="26"/>
      <c r="E269" s="26"/>
      <c r="F269" s="26"/>
      <c r="G269" s="26"/>
      <c r="H269" s="26"/>
      <c r="I269" s="95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96"/>
    </row>
    <row r="270" spans="1:29" ht="12.6" customHeight="1" x14ac:dyDescent="0.2">
      <c r="A270" s="24"/>
      <c r="B270" s="93" t="s">
        <v>64</v>
      </c>
      <c r="C270" s="190" t="s">
        <v>38</v>
      </c>
      <c r="D270" s="26">
        <v>2564.12</v>
      </c>
      <c r="E270" s="26">
        <f>C1</f>
        <v>42.67</v>
      </c>
      <c r="F270" s="26"/>
      <c r="G270" s="26"/>
      <c r="H270" s="26">
        <f>ROUND((D270*E270/1000),3)</f>
        <v>109.411</v>
      </c>
      <c r="I270" s="95">
        <v>2564.12</v>
      </c>
      <c r="J270" s="26">
        <f>C1</f>
        <v>42.67</v>
      </c>
      <c r="K270" s="26"/>
      <c r="L270" s="26"/>
      <c r="M270" s="26">
        <f>ROUND((I270*J270/1000),3)</f>
        <v>109.411</v>
      </c>
      <c r="N270" s="26">
        <v>2564.12</v>
      </c>
      <c r="O270" s="26">
        <f>D1</f>
        <v>44.63</v>
      </c>
      <c r="P270" s="26"/>
      <c r="Q270" s="26"/>
      <c r="R270" s="26">
        <f>ROUND((N270*O270/1000),3)</f>
        <v>114.437</v>
      </c>
      <c r="S270" s="26">
        <v>2564.14</v>
      </c>
      <c r="T270" s="26">
        <f>D1</f>
        <v>44.63</v>
      </c>
      <c r="U270" s="26"/>
      <c r="V270" s="26"/>
      <c r="W270" s="26">
        <f>ROUND((S270*T270/1000),3)</f>
        <v>114.438</v>
      </c>
      <c r="X270" s="26">
        <f>D270+I270+N270+S270</f>
        <v>10256.5</v>
      </c>
      <c r="Y270" s="26"/>
      <c r="Z270" s="26">
        <f>H270+M270+R270+W270</f>
        <v>447.697</v>
      </c>
      <c r="AA270" s="96"/>
      <c r="AB270" s="15">
        <v>3226</v>
      </c>
      <c r="AC270" s="15">
        <v>6918.5</v>
      </c>
    </row>
    <row r="271" spans="1:29" ht="12" customHeight="1" x14ac:dyDescent="0.2">
      <c r="A271" s="24"/>
      <c r="B271" s="93" t="s">
        <v>47</v>
      </c>
      <c r="C271" s="190" t="s">
        <v>39</v>
      </c>
      <c r="D271" s="26">
        <v>1277.5</v>
      </c>
      <c r="E271" s="26">
        <f>H5</f>
        <v>68.56</v>
      </c>
      <c r="F271" s="26"/>
      <c r="G271" s="26"/>
      <c r="H271" s="26">
        <f>ROUND((D271*E271/1000),3)</f>
        <v>87.584999999999994</v>
      </c>
      <c r="I271" s="95">
        <v>1277.5</v>
      </c>
      <c r="J271" s="26">
        <f>H5</f>
        <v>68.56</v>
      </c>
      <c r="K271" s="26"/>
      <c r="L271" s="26"/>
      <c r="M271" s="26">
        <f>ROUND((I271*J271/1000),3)</f>
        <v>87.584999999999994</v>
      </c>
      <c r="N271" s="26">
        <v>1277.5</v>
      </c>
      <c r="O271" s="26">
        <f>I5</f>
        <v>78.45</v>
      </c>
      <c r="P271" s="26"/>
      <c r="Q271" s="26"/>
      <c r="R271" s="26">
        <f>ROUND((N271*O271/1000),3)</f>
        <v>100.22</v>
      </c>
      <c r="S271" s="26">
        <v>1277.5</v>
      </c>
      <c r="T271" s="26">
        <f>I5</f>
        <v>78.45</v>
      </c>
      <c r="U271" s="26"/>
      <c r="V271" s="26"/>
      <c r="W271" s="26">
        <f>ROUND((S271*T271/1000),3)</f>
        <v>100.22</v>
      </c>
      <c r="X271" s="26">
        <f>D271+I271+N271+S271</f>
        <v>5110</v>
      </c>
      <c r="Y271" s="26"/>
      <c r="Z271" s="26">
        <f>H271+M271+R271+W271</f>
        <v>375.61</v>
      </c>
      <c r="AA271" s="96"/>
      <c r="AB271" s="15">
        <v>3226</v>
      </c>
      <c r="AC271" s="15">
        <v>6918.5</v>
      </c>
    </row>
    <row r="272" spans="1:29" ht="12" customHeight="1" x14ac:dyDescent="0.2">
      <c r="A272" s="24" t="s">
        <v>247</v>
      </c>
      <c r="B272" s="47" t="s">
        <v>338</v>
      </c>
      <c r="C272" s="190"/>
      <c r="D272" s="26"/>
      <c r="E272" s="26"/>
      <c r="F272" s="26"/>
      <c r="G272" s="26"/>
      <c r="H272" s="26"/>
      <c r="I272" s="95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>
        <f t="shared" ref="Z272:Z273" si="8">H272+M272+R272+W272</f>
        <v>0</v>
      </c>
      <c r="AA272" s="96"/>
    </row>
    <row r="273" spans="1:34" ht="12.6" customHeight="1" x14ac:dyDescent="0.2">
      <c r="A273" s="24"/>
      <c r="B273" s="93" t="s">
        <v>30</v>
      </c>
      <c r="C273" s="190"/>
      <c r="D273" s="26"/>
      <c r="E273" s="26"/>
      <c r="F273" s="26">
        <v>75</v>
      </c>
      <c r="G273" s="224">
        <v>4697.71</v>
      </c>
      <c r="H273" s="26">
        <f>(F273*G273)/1000</f>
        <v>352.32825000000003</v>
      </c>
      <c r="I273" s="95"/>
      <c r="J273" s="26"/>
      <c r="K273" s="26">
        <v>75</v>
      </c>
      <c r="L273" s="224">
        <v>4697.71</v>
      </c>
      <c r="M273" s="26">
        <f>((K273*L273)/1000)</f>
        <v>352.32825000000003</v>
      </c>
      <c r="N273" s="26"/>
      <c r="O273" s="26"/>
      <c r="P273" s="26">
        <v>75</v>
      </c>
      <c r="Q273" s="26">
        <v>5146.84</v>
      </c>
      <c r="R273" s="26">
        <f>(P273*Q273)/1000</f>
        <v>386.01299999999998</v>
      </c>
      <c r="S273" s="26"/>
      <c r="T273" s="26"/>
      <c r="U273" s="26">
        <v>75</v>
      </c>
      <c r="V273" s="26">
        <v>5146.84</v>
      </c>
      <c r="W273" s="26">
        <f>(U273*V273)/1000</f>
        <v>386.01299999999998</v>
      </c>
      <c r="X273" s="26"/>
      <c r="Y273" s="26">
        <f t="shared" si="7"/>
        <v>300</v>
      </c>
      <c r="Z273" s="26">
        <f t="shared" si="8"/>
        <v>1476.6824999999999</v>
      </c>
      <c r="AA273" s="96"/>
    </row>
    <row r="274" spans="1:34" s="13" customFormat="1" ht="12.75" x14ac:dyDescent="0.2">
      <c r="A274" s="24"/>
      <c r="B274" s="150" t="s">
        <v>33</v>
      </c>
      <c r="C274" s="151"/>
      <c r="D274" s="26">
        <f>D275+D276+D277+D278</f>
        <v>36238.57</v>
      </c>
      <c r="E274" s="26">
        <f t="shared" ref="E274:X274" si="9">E275+E276+E277+E278</f>
        <v>21754.550000000003</v>
      </c>
      <c r="F274" s="26"/>
      <c r="G274" s="26"/>
      <c r="H274" s="26">
        <f t="shared" si="9"/>
        <v>4628.2159767599996</v>
      </c>
      <c r="I274" s="26">
        <f t="shared" si="9"/>
        <v>36595.17</v>
      </c>
      <c r="J274" s="26">
        <f t="shared" si="9"/>
        <v>21735.57</v>
      </c>
      <c r="K274" s="26"/>
      <c r="L274" s="26"/>
      <c r="M274" s="26">
        <f t="shared" si="9"/>
        <v>4668.4079002599992</v>
      </c>
      <c r="N274" s="26">
        <f t="shared" si="9"/>
        <v>35958.550000000003</v>
      </c>
      <c r="O274" s="26">
        <f t="shared" si="9"/>
        <v>22410.610000000004</v>
      </c>
      <c r="P274" s="26"/>
      <c r="Q274" s="26"/>
      <c r="R274" s="26">
        <f t="shared" si="9"/>
        <v>5039.8684540400009</v>
      </c>
      <c r="S274" s="26">
        <f t="shared" si="9"/>
        <v>42506.252</v>
      </c>
      <c r="T274" s="26">
        <f t="shared" si="9"/>
        <v>22335.460000000003</v>
      </c>
      <c r="U274" s="26"/>
      <c r="V274" s="26"/>
      <c r="W274" s="26">
        <f t="shared" si="9"/>
        <v>6039.1066270400006</v>
      </c>
      <c r="X274" s="26">
        <f t="shared" si="9"/>
        <v>151298.54200000002</v>
      </c>
      <c r="Y274" s="26"/>
      <c r="Z274" s="26">
        <f>Z275+Z276+Z277+Z278</f>
        <v>20375.598958100003</v>
      </c>
      <c r="AA274" s="96"/>
    </row>
    <row r="275" spans="1:34" s="13" customFormat="1" ht="12.75" x14ac:dyDescent="0.2">
      <c r="A275" s="24"/>
      <c r="B275" s="93" t="s">
        <v>64</v>
      </c>
      <c r="C275" s="151"/>
      <c r="D275" s="26">
        <f>D17+D20+D22+D234+D251+D254+D257</f>
        <v>18414.12</v>
      </c>
      <c r="E275" s="26">
        <f t="shared" ref="E275:W275" si="10">E17+E20+E22+E234+E251+E254+E257</f>
        <v>2890.7200000000021</v>
      </c>
      <c r="F275" s="26"/>
      <c r="G275" s="26"/>
      <c r="H275" s="26">
        <f t="shared" si="10"/>
        <v>766.572</v>
      </c>
      <c r="I275" s="26">
        <f t="shared" si="10"/>
        <v>20041.12</v>
      </c>
      <c r="J275" s="26">
        <f t="shared" si="10"/>
        <v>2890.7200000000021</v>
      </c>
      <c r="K275" s="26"/>
      <c r="L275" s="26"/>
      <c r="M275" s="26">
        <f t="shared" si="10"/>
        <v>831.66800000000023</v>
      </c>
      <c r="N275" s="26">
        <f t="shared" si="10"/>
        <v>19976.62</v>
      </c>
      <c r="O275" s="26">
        <f t="shared" si="10"/>
        <v>3121.1700000000005</v>
      </c>
      <c r="P275" s="26"/>
      <c r="Q275" s="26"/>
      <c r="R275" s="26">
        <f t="shared" si="10"/>
        <v>883.4</v>
      </c>
      <c r="S275" s="26">
        <f t="shared" si="10"/>
        <v>20802.689999999999</v>
      </c>
      <c r="T275" s="26">
        <f t="shared" si="10"/>
        <v>3123.0200000000009</v>
      </c>
      <c r="U275" s="26"/>
      <c r="V275" s="26"/>
      <c r="W275" s="26">
        <f t="shared" si="10"/>
        <v>922.74900000000025</v>
      </c>
      <c r="X275" s="26">
        <f>D275+I275+N275+S275</f>
        <v>79234.55</v>
      </c>
      <c r="Y275" s="26"/>
      <c r="Z275" s="26">
        <f>H275+M275+R275+W275</f>
        <v>3404.3890000000006</v>
      </c>
      <c r="AA275" s="96"/>
      <c r="AB275" s="13">
        <v>64882.5</v>
      </c>
      <c r="AC275" s="13">
        <v>64262.619999999995</v>
      </c>
    </row>
    <row r="276" spans="1:34" s="13" customFormat="1" ht="12" customHeight="1" x14ac:dyDescent="0.2">
      <c r="A276" s="24"/>
      <c r="B276" s="93" t="s">
        <v>30</v>
      </c>
      <c r="C276" s="190"/>
      <c r="D276" s="25">
        <f>D23</f>
        <v>2333.1000000000004</v>
      </c>
      <c r="E276" s="25">
        <f t="shared" ref="E276" si="11">E23</f>
        <v>499.6699999999999</v>
      </c>
      <c r="F276" s="25">
        <f t="shared" ref="F276" si="12">F23+F259</f>
        <v>256.35599999999999</v>
      </c>
      <c r="G276" s="25"/>
      <c r="H276" s="25">
        <f>H23+H259</f>
        <v>1314.4219767599998</v>
      </c>
      <c r="I276" s="25">
        <f>I23+I259</f>
        <v>1714.6000000000001</v>
      </c>
      <c r="J276" s="25">
        <f>J23+J259</f>
        <v>499.6699999999999</v>
      </c>
      <c r="K276" s="25">
        <f t="shared" ref="K276:W276" si="13">K23+K259</f>
        <v>256.35599999999999</v>
      </c>
      <c r="L276" s="25">
        <f t="shared" si="13"/>
        <v>0</v>
      </c>
      <c r="M276" s="25">
        <f t="shared" si="13"/>
        <v>1283.7346877599998</v>
      </c>
      <c r="N276" s="25">
        <f t="shared" si="13"/>
        <v>1591.0000000000002</v>
      </c>
      <c r="O276" s="25">
        <f t="shared" si="13"/>
        <v>543.1099999999999</v>
      </c>
      <c r="P276" s="25">
        <f t="shared" si="13"/>
        <v>256.35599999999999</v>
      </c>
      <c r="Q276" s="25">
        <f t="shared" si="13"/>
        <v>0</v>
      </c>
      <c r="R276" s="25">
        <f t="shared" si="13"/>
        <v>1399.8725500400001</v>
      </c>
      <c r="S276" s="25">
        <f t="shared" si="13"/>
        <v>3731.2999999999993</v>
      </c>
      <c r="T276" s="25">
        <f t="shared" si="13"/>
        <v>543.1099999999999</v>
      </c>
      <c r="U276" s="25">
        <f t="shared" si="13"/>
        <v>256.35599999999999</v>
      </c>
      <c r="V276" s="25">
        <f t="shared" si="13"/>
        <v>0</v>
      </c>
      <c r="W276" s="25">
        <f t="shared" si="13"/>
        <v>1514.9525180400001</v>
      </c>
      <c r="X276" s="26">
        <f>D276+I276+N276+S276</f>
        <v>9370</v>
      </c>
      <c r="Y276" s="26">
        <f>F276+K276+P276+U276</f>
        <v>1025.424</v>
      </c>
      <c r="Z276" s="26">
        <f>H276+M276+R276+W276</f>
        <v>5512.9817325999993</v>
      </c>
      <c r="AA276" s="60"/>
      <c r="AB276" s="13">
        <v>6562.84</v>
      </c>
      <c r="AC276" s="13">
        <v>7282.7</v>
      </c>
    </row>
    <row r="277" spans="1:34" s="13" customFormat="1" ht="12.75" x14ac:dyDescent="0.2">
      <c r="A277" s="24"/>
      <c r="B277" s="93" t="s">
        <v>47</v>
      </c>
      <c r="C277" s="151"/>
      <c r="D277" s="26">
        <f>D24+D235+D252+D258+D249+D18</f>
        <v>11985.2</v>
      </c>
      <c r="E277" s="26">
        <f t="shared" ref="E277:W277" si="14">E24+E235+E252+E258+E249+E18</f>
        <v>1286.8399999999997</v>
      </c>
      <c r="F277" s="26"/>
      <c r="G277" s="26"/>
      <c r="H277" s="26">
        <f t="shared" si="14"/>
        <v>800.93700000000013</v>
      </c>
      <c r="I277" s="26">
        <f t="shared" si="14"/>
        <v>11172.6</v>
      </c>
      <c r="J277" s="26">
        <f t="shared" si="14"/>
        <v>1267.8599999999999</v>
      </c>
      <c r="K277" s="26"/>
      <c r="L277" s="26"/>
      <c r="M277" s="26">
        <f t="shared" si="14"/>
        <v>777.25121249999984</v>
      </c>
      <c r="N277" s="26">
        <f t="shared" si="14"/>
        <v>10669.199999999999</v>
      </c>
      <c r="O277" s="26">
        <f t="shared" si="14"/>
        <v>1432.8900000000003</v>
      </c>
      <c r="P277" s="26"/>
      <c r="Q277" s="26"/>
      <c r="R277" s="26">
        <f t="shared" si="14"/>
        <v>909.55390400000022</v>
      </c>
      <c r="S277" s="26">
        <f t="shared" si="14"/>
        <v>13387.97</v>
      </c>
      <c r="T277" s="26">
        <f t="shared" si="14"/>
        <v>1432.8900000000003</v>
      </c>
      <c r="U277" s="26"/>
      <c r="V277" s="26"/>
      <c r="W277" s="26">
        <f t="shared" si="14"/>
        <v>1372.8691090000002</v>
      </c>
      <c r="X277" s="26">
        <f>D277+I277+N277+S277</f>
        <v>47214.97</v>
      </c>
      <c r="Y277" s="26"/>
      <c r="Z277" s="26">
        <f>H277+M277+R277+W277</f>
        <v>3860.6112255000003</v>
      </c>
      <c r="AA277" s="96"/>
      <c r="AB277" s="13">
        <v>33795.300000000003</v>
      </c>
      <c r="AC277" s="13">
        <v>36792.839999999997</v>
      </c>
    </row>
    <row r="278" spans="1:34" s="13" customFormat="1" ht="15" x14ac:dyDescent="0.25">
      <c r="A278" s="24"/>
      <c r="B278" s="152" t="s">
        <v>92</v>
      </c>
      <c r="C278" s="151"/>
      <c r="D278" s="26">
        <f>D25+D255</f>
        <v>3506.15</v>
      </c>
      <c r="E278" s="26">
        <f t="shared" ref="E278:W278" si="15">E25+E255</f>
        <v>17077.32</v>
      </c>
      <c r="F278" s="26"/>
      <c r="G278" s="26"/>
      <c r="H278" s="26">
        <f t="shared" si="15"/>
        <v>1746.2849999999999</v>
      </c>
      <c r="I278" s="26">
        <f t="shared" si="15"/>
        <v>3666.8500000000004</v>
      </c>
      <c r="J278" s="26">
        <f t="shared" si="15"/>
        <v>17077.32</v>
      </c>
      <c r="K278" s="26"/>
      <c r="L278" s="26"/>
      <c r="M278" s="26">
        <f t="shared" si="15"/>
        <v>1775.7539999999997</v>
      </c>
      <c r="N278" s="26">
        <f t="shared" si="15"/>
        <v>3721.7299999999996</v>
      </c>
      <c r="O278" s="26">
        <f t="shared" si="15"/>
        <v>17313.440000000002</v>
      </c>
      <c r="P278" s="26"/>
      <c r="Q278" s="26"/>
      <c r="R278" s="26">
        <f t="shared" si="15"/>
        <v>1847.0419999999999</v>
      </c>
      <c r="S278" s="26">
        <f t="shared" si="15"/>
        <v>4584.2919999999995</v>
      </c>
      <c r="T278" s="26">
        <f t="shared" si="15"/>
        <v>17236.440000000002</v>
      </c>
      <c r="U278" s="26"/>
      <c r="V278" s="26"/>
      <c r="W278" s="26">
        <f t="shared" si="15"/>
        <v>2228.5360000000001</v>
      </c>
      <c r="X278" s="26">
        <f>D278+I278+N278+S278</f>
        <v>15479.021999999999</v>
      </c>
      <c r="Y278" s="26"/>
      <c r="Z278" s="26">
        <f>H278+M278+R278+W278</f>
        <v>7597.6170000000002</v>
      </c>
      <c r="AA278" s="60"/>
      <c r="AB278" s="13">
        <v>15903.439999999999</v>
      </c>
      <c r="AC278" s="13">
        <v>15423.300000000001</v>
      </c>
    </row>
    <row r="279" spans="1:34" x14ac:dyDescent="0.2">
      <c r="D279" s="21"/>
      <c r="I279" s="153"/>
      <c r="N279" s="21"/>
      <c r="S279" s="21"/>
      <c r="X279" s="21"/>
      <c r="Y279" s="21"/>
      <c r="Z279" s="21"/>
      <c r="AA279" s="21"/>
    </row>
    <row r="280" spans="1:34" ht="33" customHeight="1" x14ac:dyDescent="0.25">
      <c r="A280" s="265" t="s">
        <v>300</v>
      </c>
      <c r="B280" s="266"/>
      <c r="C280" s="266"/>
      <c r="D280" s="266"/>
      <c r="E280" s="266"/>
      <c r="F280" s="266"/>
      <c r="G280" s="266"/>
      <c r="H280" s="266"/>
      <c r="I280" s="266"/>
      <c r="J280" s="266"/>
      <c r="K280" s="266"/>
      <c r="L280" s="266"/>
      <c r="M280" s="266"/>
      <c r="N280" s="266"/>
      <c r="O280" s="266"/>
      <c r="P280" s="266"/>
      <c r="Q280" s="266"/>
      <c r="R280" s="266"/>
      <c r="S280" s="266"/>
      <c r="T280" s="266"/>
      <c r="U280" s="266"/>
      <c r="V280" s="266"/>
      <c r="W280" s="266"/>
      <c r="X280" s="266"/>
      <c r="Y280" s="266"/>
      <c r="Z280" s="266"/>
      <c r="AA280" s="191"/>
      <c r="AB280" s="154"/>
      <c r="AC280" s="154"/>
      <c r="AD280" s="154"/>
      <c r="AE280" s="154"/>
      <c r="AF280" s="154"/>
      <c r="AG280" s="154"/>
      <c r="AH280" s="154"/>
    </row>
    <row r="281" spans="1:34" ht="18.75" customHeight="1" x14ac:dyDescent="0.2">
      <c r="C281" s="15"/>
      <c r="M281" s="156"/>
      <c r="T281" s="21"/>
      <c r="U281" s="21"/>
      <c r="W281" s="21"/>
      <c r="X281" s="21"/>
      <c r="Y281" s="21"/>
    </row>
    <row r="282" spans="1:34" s="182" customFormat="1" ht="64.5" customHeight="1" x14ac:dyDescent="0.35">
      <c r="A282" s="262" t="s">
        <v>301</v>
      </c>
      <c r="B282" s="262"/>
      <c r="C282" s="262"/>
      <c r="D282" s="262"/>
      <c r="E282" s="262"/>
      <c r="F282" s="262"/>
      <c r="G282" s="262"/>
      <c r="H282" s="262"/>
      <c r="I282" s="262"/>
      <c r="J282" s="262"/>
      <c r="K282" s="262"/>
      <c r="L282" s="262"/>
      <c r="M282" s="262"/>
      <c r="N282" s="174"/>
      <c r="R282" s="28"/>
      <c r="S282" s="28"/>
      <c r="T282" s="28"/>
      <c r="U282" s="28"/>
      <c r="V282" s="28"/>
      <c r="W282" s="28"/>
      <c r="X282" s="264" t="s">
        <v>278</v>
      </c>
      <c r="Y282" s="264"/>
      <c r="Z282" s="264"/>
      <c r="AA282" s="157"/>
      <c r="AB282" s="28"/>
      <c r="AC282" s="28"/>
      <c r="AD282" s="28"/>
      <c r="AE282" s="28"/>
      <c r="AF282" s="28"/>
      <c r="AH282" s="28"/>
    </row>
    <row r="283" spans="1:34" s="181" customFormat="1" ht="17.25" customHeight="1" x14ac:dyDescent="0.25">
      <c r="I283" s="158"/>
      <c r="AA283" s="60"/>
    </row>
    <row r="284" spans="1:34" s="182" customFormat="1" ht="71.25" customHeight="1" x14ac:dyDescent="0.35">
      <c r="A284" s="267" t="s">
        <v>399</v>
      </c>
      <c r="B284" s="267"/>
      <c r="C284" s="267"/>
      <c r="D284" s="267"/>
      <c r="E284" s="174"/>
      <c r="F284" s="174"/>
      <c r="G284" s="174"/>
      <c r="H284" s="174"/>
      <c r="I284" s="174"/>
      <c r="X284" s="264" t="s">
        <v>304</v>
      </c>
      <c r="Y284" s="264"/>
      <c r="Z284" s="264"/>
      <c r="AA284" s="157"/>
    </row>
  </sheetData>
  <sheetProtection selectLockedCells="1" selectUnlockedCells="1"/>
  <mergeCells count="24">
    <mergeCell ref="B11:Z11"/>
    <mergeCell ref="S1:Z1"/>
    <mergeCell ref="S2:Z2"/>
    <mergeCell ref="S3:Z3"/>
    <mergeCell ref="S4:Z4"/>
    <mergeCell ref="S9:Z9"/>
    <mergeCell ref="S5:Z5"/>
    <mergeCell ref="S6:Z6"/>
    <mergeCell ref="S7:Z7"/>
    <mergeCell ref="S8:Z8"/>
    <mergeCell ref="AB13:AB14"/>
    <mergeCell ref="A13:A14"/>
    <mergeCell ref="X282:Z282"/>
    <mergeCell ref="X284:Z284"/>
    <mergeCell ref="N13:R13"/>
    <mergeCell ref="B13:B14"/>
    <mergeCell ref="A280:Z280"/>
    <mergeCell ref="X13:Z13"/>
    <mergeCell ref="S13:W13"/>
    <mergeCell ref="C13:C14"/>
    <mergeCell ref="D13:H13"/>
    <mergeCell ref="I13:M13"/>
    <mergeCell ref="A282:M282"/>
    <mergeCell ref="A284:D284"/>
  </mergeCells>
  <phoneticPr fontId="7" type="noConversion"/>
  <pageMargins left="0.78740157480314965" right="0.19685039370078741" top="1.1811023622047245" bottom="0.39370078740157483" header="0.31496062992125984" footer="0.31496062992125984"/>
  <pageSetup paperSize="9" scale="62" firstPageNumber="0" fitToHeight="8" orientation="landscape" r:id="rId1"/>
  <headerFooter differentFirst="1"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эл энергия</vt:lpstr>
      <vt:lpstr>тепло эн</vt:lpstr>
      <vt:lpstr>ГАЗ </vt:lpstr>
      <vt:lpstr>вода</vt:lpstr>
      <vt:lpstr>вода!Заголовки_для_печати</vt:lpstr>
      <vt:lpstr>'эл энергия'!Заголовки_для_печати</vt:lpstr>
      <vt:lpstr>вода!Область_печати</vt:lpstr>
      <vt:lpstr>'эл энергия'!Область_печати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Климовец</dc:creator>
  <cp:lastModifiedBy>Пользователь Windows</cp:lastModifiedBy>
  <cp:lastPrinted>2026-09-08T13:08:52Z</cp:lastPrinted>
  <dcterms:created xsi:type="dcterms:W3CDTF">2013-12-04T07:09:38Z</dcterms:created>
  <dcterms:modified xsi:type="dcterms:W3CDTF">2026-09-08T13:43:37Z</dcterms:modified>
</cp:coreProperties>
</file>